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ecde583955d6d0/Desktop/"/>
    </mc:Choice>
  </mc:AlternateContent>
  <xr:revisionPtr revIDLastSave="75" documentId="8_{DB7BA253-DBDF-4E70-A30D-73F96B1FAA38}" xr6:coauthVersionLast="47" xr6:coauthVersionMax="47" xr10:uidLastSave="{85D5FDE9-496A-4F6F-A79B-0BA6B7808834}"/>
  <bookViews>
    <workbookView xWindow="-120" yWindow="-120" windowWidth="29040" windowHeight="15720" xr2:uid="{DDFE2D3D-2E92-4445-883A-7AC25D563730}"/>
  </bookViews>
  <sheets>
    <sheet name="Transaction Overview" sheetId="1" r:id="rId1"/>
    <sheet name="Annual Cash Flow" sheetId="3" r:id="rId2"/>
  </sheets>
  <definedNames>
    <definedName name="End_Date">'Transaction Overview'!$T$9</definedName>
    <definedName name="Lots">'Transaction Overview'!$H$11</definedName>
    <definedName name="_xlnm.Print_Area" localSheetId="1">'Annual Cash Flow'!$C$3:$U$103</definedName>
    <definedName name="_xlnm.Print_Area" localSheetId="0">'Transaction Overview'!$C$3:$U$59</definedName>
    <definedName name="Project_Name">'Transaction Overview'!$H$8</definedName>
    <definedName name="Start_Date">'Transaction Overview'!$H$9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 a="1"/>
  <c r="T10" i="1"/>
  <c r="H24" i="1"/>
  <c r="H23" i="1"/>
  <c r="G23" i="1" s="1"/>
  <c r="H53" i="1"/>
  <c r="C4" i="3"/>
  <c r="Y4" i="1"/>
  <c r="C4" i="1"/>
  <c r="V2" i="3"/>
  <c r="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C5" i="3"/>
  <c r="D7" i="3"/>
  <c r="I7" i="3"/>
  <c r="J7" i="3"/>
  <c r="K7" i="3"/>
  <c r="L7" i="3"/>
  <c r="M7" i="3"/>
  <c r="N7" i="3"/>
  <c r="O7" i="3"/>
  <c r="P7" i="3"/>
  <c r="Q7" i="3"/>
  <c r="R7" i="3"/>
  <c r="S7" i="3"/>
  <c r="T7" i="3"/>
  <c r="D8" i="3"/>
  <c r="I8" i="3"/>
  <c r="J8" i="3"/>
  <c r="K8" i="3"/>
  <c r="L8" i="3"/>
  <c r="M8" i="3"/>
  <c r="N8" i="3"/>
  <c r="O8" i="3"/>
  <c r="P8" i="3"/>
  <c r="Q8" i="3"/>
  <c r="R8" i="3"/>
  <c r="S8" i="3"/>
  <c r="T8" i="3"/>
  <c r="D9" i="3"/>
  <c r="I9" i="3"/>
  <c r="J9" i="3"/>
  <c r="K9" i="3"/>
  <c r="L9" i="3"/>
  <c r="M9" i="3"/>
  <c r="N9" i="3"/>
  <c r="O9" i="3"/>
  <c r="P9" i="3"/>
  <c r="Q9" i="3"/>
  <c r="R9" i="3"/>
  <c r="S9" i="3"/>
  <c r="T9" i="3"/>
  <c r="D10" i="3"/>
  <c r="D12" i="3"/>
  <c r="D13" i="3"/>
  <c r="I13" i="3"/>
  <c r="D14" i="3"/>
  <c r="D16" i="3"/>
  <c r="D18" i="3"/>
  <c r="D19" i="3"/>
  <c r="D20" i="3"/>
  <c r="D21" i="3"/>
  <c r="D22" i="3"/>
  <c r="D24" i="3"/>
  <c r="D26" i="3"/>
  <c r="D28" i="3"/>
  <c r="D29" i="3"/>
  <c r="D30" i="3"/>
  <c r="D31" i="3"/>
  <c r="D33" i="3"/>
  <c r="D35" i="3"/>
  <c r="D37" i="3"/>
  <c r="D39" i="3"/>
  <c r="D40" i="3"/>
  <c r="D41" i="3"/>
  <c r="D42" i="3"/>
  <c r="D44" i="3"/>
  <c r="D46" i="3"/>
  <c r="D48" i="3"/>
  <c r="T48" i="3"/>
  <c r="D49" i="3"/>
  <c r="D50" i="3"/>
  <c r="D51" i="3"/>
  <c r="D53" i="3"/>
  <c r="D55" i="3"/>
  <c r="D57" i="3"/>
  <c r="D58" i="3"/>
  <c r="D59" i="3"/>
  <c r="D60" i="3"/>
  <c r="D62" i="3"/>
  <c r="D63" i="3"/>
  <c r="D65" i="3"/>
  <c r="I65" i="3"/>
  <c r="D66" i="3"/>
  <c r="D67" i="3"/>
  <c r="D68" i="3"/>
  <c r="D69" i="3"/>
  <c r="D71" i="3"/>
  <c r="I71" i="3"/>
  <c r="D73" i="3"/>
  <c r="D74" i="3"/>
  <c r="I74" i="3"/>
  <c r="J74" i="3"/>
  <c r="K74" i="3"/>
  <c r="L74" i="3"/>
  <c r="M74" i="3"/>
  <c r="N74" i="3"/>
  <c r="O74" i="3"/>
  <c r="P74" i="3"/>
  <c r="Q74" i="3"/>
  <c r="R74" i="3"/>
  <c r="S74" i="3"/>
  <c r="T74" i="3"/>
  <c r="D76" i="3"/>
  <c r="I76" i="3"/>
  <c r="D77" i="3"/>
  <c r="D78" i="3"/>
  <c r="D79" i="3"/>
  <c r="D80" i="3"/>
  <c r="D82" i="3"/>
  <c r="D84" i="3"/>
  <c r="D86" i="3"/>
  <c r="D87" i="3"/>
  <c r="I87" i="3"/>
  <c r="D88" i="3"/>
  <c r="D89" i="3"/>
  <c r="D90" i="3"/>
  <c r="D91" i="3"/>
  <c r="D93" i="3"/>
  <c r="D95" i="3"/>
  <c r="D97" i="3"/>
  <c r="D99" i="3"/>
  <c r="D100" i="3"/>
  <c r="D101" i="3"/>
  <c r="D102" i="3"/>
  <c r="B104" i="3"/>
  <c r="V104" i="3"/>
  <c r="AE35" i="1"/>
  <c r="I35" i="3" s="1"/>
  <c r="H38" i="1"/>
  <c r="AE93" i="1"/>
  <c r="I93" i="3" s="1"/>
  <c r="AE82" i="1"/>
  <c r="I82" i="3" s="1"/>
  <c r="AE71" i="1"/>
  <c r="T29" i="1"/>
  <c r="AF9" i="1"/>
  <c r="AG9" i="1" s="1"/>
  <c r="H18" i="1"/>
  <c r="G18" i="1" s="1"/>
  <c r="AE16" i="1"/>
  <c r="I16" i="3" s="1"/>
  <c r="G24" i="1" l="1"/>
  <c r="AF16" i="1"/>
  <c r="AE67" i="1"/>
  <c r="I67" i="3" s="1"/>
  <c r="AH9" i="1"/>
  <c r="AG8" i="1"/>
  <c r="AG7" i="1"/>
  <c r="AG67" i="1" s="1"/>
  <c r="K67" i="3" s="1"/>
  <c r="H19" i="1"/>
  <c r="G19" i="1" s="1"/>
  <c r="AE37" i="1"/>
  <c r="I37" i="3" s="1"/>
  <c r="S32" i="1"/>
  <c r="T32" i="1" s="1"/>
  <c r="T18" i="1"/>
  <c r="T9" i="1"/>
  <c r="T19" i="1" s="1"/>
  <c r="H54" i="1"/>
  <c r="H55" i="1" s="1"/>
  <c r="H56" i="1" s="1"/>
  <c r="D53" i="1"/>
  <c r="D54" i="1" s="1"/>
  <c r="D55" i="1" s="1"/>
  <c r="D56" i="1" s="1"/>
  <c r="AG16" i="1" l="1"/>
  <c r="J16" i="3"/>
  <c r="AI9" i="1"/>
  <c r="AH8" i="1"/>
  <c r="AH7" i="1"/>
  <c r="G42" i="1"/>
  <c r="D28" i="1"/>
  <c r="D29" i="1" s="1"/>
  <c r="D30" i="1" s="1"/>
  <c r="D31" i="1" s="1"/>
  <c r="AF7" i="1"/>
  <c r="AE10" i="1"/>
  <c r="AE12" i="1" l="1"/>
  <c r="I10" i="3"/>
  <c r="AH16" i="1"/>
  <c r="K16" i="3"/>
  <c r="AF67" i="1"/>
  <c r="J67" i="3" s="1"/>
  <c r="AH67" i="1"/>
  <c r="L67" i="3" s="1"/>
  <c r="AE66" i="1"/>
  <c r="AF10" i="1"/>
  <c r="AE29" i="1"/>
  <c r="I29" i="3" s="1"/>
  <c r="AE28" i="1"/>
  <c r="I28" i="3" s="1"/>
  <c r="AI8" i="1"/>
  <c r="AI7" i="1"/>
  <c r="AJ9" i="1"/>
  <c r="H44" i="1"/>
  <c r="H45" i="1" s="1"/>
  <c r="G45" i="1" s="1"/>
  <c r="G46" i="1" s="1"/>
  <c r="T47" i="1" s="1"/>
  <c r="T21" i="1"/>
  <c r="AF37" i="1"/>
  <c r="J37" i="3" s="1"/>
  <c r="AF8" i="1"/>
  <c r="G17" i="1"/>
  <c r="AE68" i="1" l="1"/>
  <c r="I68" i="3" s="1"/>
  <c r="I66" i="3"/>
  <c r="AF12" i="1"/>
  <c r="J10" i="3"/>
  <c r="AE14" i="1"/>
  <c r="I12" i="3"/>
  <c r="AI16" i="1"/>
  <c r="L16" i="3"/>
  <c r="AI67" i="1"/>
  <c r="M67" i="3" s="1"/>
  <c r="AF66" i="1"/>
  <c r="J66" i="3" s="1"/>
  <c r="AF29" i="1"/>
  <c r="J29" i="3" s="1"/>
  <c r="AG10" i="1"/>
  <c r="AF28" i="1"/>
  <c r="J28" i="3" s="1"/>
  <c r="AJ7" i="1"/>
  <c r="AJ8" i="1"/>
  <c r="AK9" i="1"/>
  <c r="AF50" i="1"/>
  <c r="AE50" i="1"/>
  <c r="T22" i="1"/>
  <c r="S22" i="1" s="1"/>
  <c r="AE39" i="1"/>
  <c r="I39" i="3" s="1"/>
  <c r="H46" i="1"/>
  <c r="AE21" i="1" l="1"/>
  <c r="I21" i="3" s="1"/>
  <c r="AF35" i="1"/>
  <c r="J35" i="3" s="1"/>
  <c r="I14" i="3"/>
  <c r="AF13" i="1"/>
  <c r="J13" i="3" s="1"/>
  <c r="AE18" i="1"/>
  <c r="I18" i="3" s="1"/>
  <c r="J12" i="3"/>
  <c r="AG12" i="1"/>
  <c r="K12" i="3" s="1"/>
  <c r="K10" i="3"/>
  <c r="AE51" i="1"/>
  <c r="I51" i="3" s="1"/>
  <c r="I50" i="3"/>
  <c r="AF51" i="1"/>
  <c r="J51" i="3" s="1"/>
  <c r="J50" i="3"/>
  <c r="AJ16" i="1"/>
  <c r="M16" i="3"/>
  <c r="AJ67" i="1"/>
  <c r="N67" i="3" s="1"/>
  <c r="AG50" i="1"/>
  <c r="AG66" i="1"/>
  <c r="K66" i="3" s="1"/>
  <c r="AH10" i="1"/>
  <c r="AG29" i="1"/>
  <c r="K29" i="3" s="1"/>
  <c r="AG28" i="1"/>
  <c r="K28" i="3" s="1"/>
  <c r="AK7" i="1"/>
  <c r="AL9" i="1"/>
  <c r="AK8" i="1"/>
  <c r="T23" i="1"/>
  <c r="S23" i="1" s="1"/>
  <c r="AG37" i="1"/>
  <c r="K37" i="3" s="1"/>
  <c r="AE48" i="1" l="1"/>
  <c r="I48" i="3" s="1"/>
  <c r="AF39" i="1"/>
  <c r="J39" i="3" s="1"/>
  <c r="L10" i="3"/>
  <c r="AH12" i="1"/>
  <c r="AE19" i="1"/>
  <c r="I19" i="3" s="1"/>
  <c r="AE20" i="1"/>
  <c r="I20" i="3" s="1"/>
  <c r="AF14" i="1"/>
  <c r="AG51" i="1"/>
  <c r="K51" i="3" s="1"/>
  <c r="K50" i="3"/>
  <c r="AK16" i="1"/>
  <c r="N16" i="3"/>
  <c r="AK67" i="1"/>
  <c r="O67" i="3" s="1"/>
  <c r="AH66" i="1"/>
  <c r="L66" i="3" s="1"/>
  <c r="AI10" i="1"/>
  <c r="AH28" i="1"/>
  <c r="L28" i="3" s="1"/>
  <c r="AH50" i="1"/>
  <c r="AH29" i="1"/>
  <c r="L29" i="3" s="1"/>
  <c r="AM9" i="1"/>
  <c r="AL7" i="1"/>
  <c r="AL8" i="1"/>
  <c r="AH37" i="1"/>
  <c r="L37" i="3" s="1"/>
  <c r="AE41" i="1"/>
  <c r="I41" i="3" s="1"/>
  <c r="AE40" i="1"/>
  <c r="I40" i="3" s="1"/>
  <c r="AF41" i="1"/>
  <c r="J41" i="3" s="1"/>
  <c r="AF40" i="1"/>
  <c r="J40" i="3" s="1"/>
  <c r="AE49" i="1" l="1"/>
  <c r="AE88" i="1" s="1"/>
  <c r="I88" i="3" s="1"/>
  <c r="L12" i="3"/>
  <c r="AF21" i="1"/>
  <c r="J21" i="3" s="1"/>
  <c r="AG35" i="1"/>
  <c r="AG39" i="1" s="1"/>
  <c r="K39" i="3" s="1"/>
  <c r="J14" i="3"/>
  <c r="AG13" i="1"/>
  <c r="AF18" i="1"/>
  <c r="M10" i="3"/>
  <c r="AI12" i="1"/>
  <c r="AE22" i="1"/>
  <c r="AH51" i="1"/>
  <c r="L51" i="3" s="1"/>
  <c r="L50" i="3"/>
  <c r="AL16" i="1"/>
  <c r="O16" i="3"/>
  <c r="AL67" i="1"/>
  <c r="P67" i="3" s="1"/>
  <c r="AI66" i="1"/>
  <c r="M66" i="3" s="1"/>
  <c r="AJ10" i="1"/>
  <c r="AI50" i="1"/>
  <c r="AI29" i="1"/>
  <c r="M29" i="3" s="1"/>
  <c r="AI28" i="1"/>
  <c r="M28" i="3" s="1"/>
  <c r="AM8" i="1"/>
  <c r="AM7" i="1"/>
  <c r="AN9" i="1"/>
  <c r="AF42" i="1"/>
  <c r="AE42" i="1"/>
  <c r="AI37" i="1"/>
  <c r="M37" i="3" s="1"/>
  <c r="I49" i="3" l="1"/>
  <c r="I22" i="3"/>
  <c r="AE24" i="1"/>
  <c r="AE89" i="1"/>
  <c r="I89" i="3" s="1"/>
  <c r="M12" i="3"/>
  <c r="K13" i="3"/>
  <c r="AG14" i="1"/>
  <c r="N10" i="3"/>
  <c r="AJ12" i="1"/>
  <c r="N12" i="3" s="1"/>
  <c r="AF20" i="1"/>
  <c r="J20" i="3" s="1"/>
  <c r="J18" i="3"/>
  <c r="AF19" i="1"/>
  <c r="J19" i="3" s="1"/>
  <c r="K35" i="3"/>
  <c r="AF48" i="1"/>
  <c r="AF44" i="1"/>
  <c r="J42" i="3"/>
  <c r="AE44" i="1"/>
  <c r="I42" i="3"/>
  <c r="AI51" i="1"/>
  <c r="M51" i="3" s="1"/>
  <c r="M50" i="3"/>
  <c r="AM16" i="1"/>
  <c r="P16" i="3"/>
  <c r="AM67" i="1"/>
  <c r="Q67" i="3" s="1"/>
  <c r="AJ66" i="1"/>
  <c r="N66" i="3" s="1"/>
  <c r="AK10" i="1"/>
  <c r="AJ28" i="1"/>
  <c r="N28" i="3" s="1"/>
  <c r="AJ29" i="1"/>
  <c r="N29" i="3" s="1"/>
  <c r="AJ50" i="1"/>
  <c r="AO9" i="1"/>
  <c r="AN7" i="1"/>
  <c r="AN8" i="1"/>
  <c r="AG41" i="1"/>
  <c r="K41" i="3" s="1"/>
  <c r="AG40" i="1"/>
  <c r="K40" i="3" s="1"/>
  <c r="AJ37" i="1"/>
  <c r="N37" i="3" s="1"/>
  <c r="AE90" i="1" l="1"/>
  <c r="AE91" i="1" s="1"/>
  <c r="K14" i="3"/>
  <c r="AH35" i="1"/>
  <c r="AG21" i="1"/>
  <c r="K21" i="3" s="1"/>
  <c r="AH13" i="1"/>
  <c r="AG18" i="1"/>
  <c r="AE26" i="1"/>
  <c r="I26" i="3" s="1"/>
  <c r="I24" i="3"/>
  <c r="AF22" i="1"/>
  <c r="O10" i="3"/>
  <c r="AK12" i="1"/>
  <c r="O12" i="3" s="1"/>
  <c r="AF49" i="1"/>
  <c r="J49" i="3" s="1"/>
  <c r="J48" i="3"/>
  <c r="AE46" i="1"/>
  <c r="I44" i="3"/>
  <c r="AJ51" i="1"/>
  <c r="N51" i="3" s="1"/>
  <c r="N50" i="3"/>
  <c r="AF46" i="1"/>
  <c r="J44" i="3"/>
  <c r="AN16" i="1"/>
  <c r="Q16" i="3"/>
  <c r="AN67" i="1"/>
  <c r="R67" i="3" s="1"/>
  <c r="AK66" i="1"/>
  <c r="O66" i="3" s="1"/>
  <c r="AL10" i="1"/>
  <c r="AK50" i="1"/>
  <c r="AK29" i="1"/>
  <c r="O29" i="3" s="1"/>
  <c r="AK28" i="1"/>
  <c r="O28" i="3" s="1"/>
  <c r="AO7" i="1"/>
  <c r="AP9" i="1"/>
  <c r="AO8" i="1"/>
  <c r="AG42" i="1"/>
  <c r="AK37" i="1"/>
  <c r="O37" i="3" s="1"/>
  <c r="I90" i="3" l="1"/>
  <c r="AF88" i="1"/>
  <c r="AL12" i="1"/>
  <c r="P12" i="3" s="1"/>
  <c r="P10" i="3"/>
  <c r="K18" i="3"/>
  <c r="AG19" i="1"/>
  <c r="K19" i="3" s="1"/>
  <c r="AG20" i="1"/>
  <c r="K20" i="3" s="1"/>
  <c r="L13" i="3"/>
  <c r="AH14" i="1"/>
  <c r="L35" i="3"/>
  <c r="AG48" i="1"/>
  <c r="AH39" i="1"/>
  <c r="J22" i="3"/>
  <c r="AF24" i="1"/>
  <c r="AF53" i="1"/>
  <c r="J46" i="3"/>
  <c r="AF87" i="1"/>
  <c r="I91" i="3"/>
  <c r="AK51" i="1"/>
  <c r="O51" i="3" s="1"/>
  <c r="O50" i="3"/>
  <c r="AG44" i="1"/>
  <c r="K42" i="3"/>
  <c r="AE53" i="1"/>
  <c r="I46" i="3"/>
  <c r="AO16" i="1"/>
  <c r="R16" i="3"/>
  <c r="AO67" i="1"/>
  <c r="S67" i="3" s="1"/>
  <c r="AL66" i="1"/>
  <c r="P66" i="3" s="1"/>
  <c r="AM10" i="1"/>
  <c r="AL29" i="1"/>
  <c r="P29" i="3" s="1"/>
  <c r="AL50" i="1"/>
  <c r="AL28" i="1"/>
  <c r="P28" i="3" s="1"/>
  <c r="AP7" i="1"/>
  <c r="AP8" i="1"/>
  <c r="AL37" i="1"/>
  <c r="P37" i="3" s="1"/>
  <c r="AG22" i="1" l="1"/>
  <c r="K22" i="3" s="1"/>
  <c r="AG49" i="1"/>
  <c r="K49" i="3" s="1"/>
  <c r="K48" i="3"/>
  <c r="AF26" i="1"/>
  <c r="J24" i="3"/>
  <c r="AM12" i="1"/>
  <c r="Q10" i="3"/>
  <c r="AH41" i="1"/>
  <c r="L41" i="3" s="1"/>
  <c r="L39" i="3"/>
  <c r="AH40" i="1"/>
  <c r="L14" i="3"/>
  <c r="AI35" i="1"/>
  <c r="AH18" i="1"/>
  <c r="AH21" i="1"/>
  <c r="L21" i="3" s="1"/>
  <c r="AI13" i="1"/>
  <c r="AG24" i="1"/>
  <c r="J88" i="3"/>
  <c r="AF89" i="1"/>
  <c r="J89" i="3" s="1"/>
  <c r="I53" i="3"/>
  <c r="AE95" i="1"/>
  <c r="I95" i="3" s="1"/>
  <c r="AG46" i="1"/>
  <c r="K44" i="3"/>
  <c r="AL51" i="1"/>
  <c r="P51" i="3" s="1"/>
  <c r="P50" i="3"/>
  <c r="AF93" i="1"/>
  <c r="J93" i="3" s="1"/>
  <c r="J87" i="3"/>
  <c r="J53" i="3"/>
  <c r="AP16" i="1"/>
  <c r="T16" i="3" s="1"/>
  <c r="S16" i="3"/>
  <c r="AP67" i="1"/>
  <c r="T67" i="3" s="1"/>
  <c r="AM66" i="1"/>
  <c r="Q66" i="3" s="1"/>
  <c r="AN10" i="1"/>
  <c r="AM50" i="1"/>
  <c r="AM28" i="1"/>
  <c r="Q28" i="3" s="1"/>
  <c r="AM29" i="1"/>
  <c r="Q29" i="3" s="1"/>
  <c r="AM37" i="1"/>
  <c r="Q37" i="3" s="1"/>
  <c r="AG88" i="1" l="1"/>
  <c r="AH42" i="1"/>
  <c r="L40" i="3"/>
  <c r="AN12" i="1"/>
  <c r="R12" i="3" s="1"/>
  <c r="R10" i="3"/>
  <c r="M13" i="3"/>
  <c r="AI14" i="1"/>
  <c r="L18" i="3"/>
  <c r="AH20" i="1"/>
  <c r="L20" i="3" s="1"/>
  <c r="AH19" i="1"/>
  <c r="L19" i="3" s="1"/>
  <c r="M35" i="3"/>
  <c r="AH48" i="1"/>
  <c r="AI39" i="1"/>
  <c r="Q12" i="3"/>
  <c r="AF90" i="1"/>
  <c r="AF95" i="1" s="1"/>
  <c r="J95" i="3" s="1"/>
  <c r="H14" i="1"/>
  <c r="J26" i="3"/>
  <c r="K24" i="3"/>
  <c r="AG26" i="1"/>
  <c r="K26" i="3" s="1"/>
  <c r="AG53" i="1"/>
  <c r="K46" i="3"/>
  <c r="AM51" i="1"/>
  <c r="Q51" i="3" s="1"/>
  <c r="Q50" i="3"/>
  <c r="AN66" i="1"/>
  <c r="R66" i="3" s="1"/>
  <c r="AO10" i="1"/>
  <c r="AN50" i="1"/>
  <c r="AN29" i="1"/>
  <c r="R29" i="3" s="1"/>
  <c r="AN28" i="1"/>
  <c r="R28" i="3" s="1"/>
  <c r="AN37" i="1"/>
  <c r="R37" i="3" s="1"/>
  <c r="AH22" i="1" l="1"/>
  <c r="AH24" i="1" s="1"/>
  <c r="K88" i="3"/>
  <c r="AG89" i="1"/>
  <c r="K89" i="3" s="1"/>
  <c r="J90" i="3"/>
  <c r="AF91" i="1"/>
  <c r="J91" i="3" s="1"/>
  <c r="L48" i="3"/>
  <c r="AH49" i="1"/>
  <c r="L49" i="3" s="1"/>
  <c r="AH88" i="1"/>
  <c r="AJ35" i="1"/>
  <c r="M14" i="3"/>
  <c r="AI18" i="1"/>
  <c r="AI21" i="1"/>
  <c r="M21" i="3" s="1"/>
  <c r="AJ13" i="1"/>
  <c r="M39" i="3"/>
  <c r="AI41" i="1"/>
  <c r="M41" i="3" s="1"/>
  <c r="AI40" i="1"/>
  <c r="M40" i="3" s="1"/>
  <c r="AO12" i="1"/>
  <c r="S10" i="3"/>
  <c r="AH44" i="1"/>
  <c r="L42" i="3"/>
  <c r="K53" i="3"/>
  <c r="AN51" i="1"/>
  <c r="R51" i="3" s="1"/>
  <c r="R50" i="3"/>
  <c r="AO66" i="1"/>
  <c r="S66" i="3" s="1"/>
  <c r="AP10" i="1"/>
  <c r="AO50" i="1"/>
  <c r="AO29" i="1"/>
  <c r="S29" i="3" s="1"/>
  <c r="AO28" i="1"/>
  <c r="S28" i="3" s="1"/>
  <c r="AO37" i="1"/>
  <c r="S37" i="3" s="1"/>
  <c r="AG87" i="1" l="1"/>
  <c r="L22" i="3"/>
  <c r="AI42" i="1"/>
  <c r="AI44" i="1" s="1"/>
  <c r="S12" i="3"/>
  <c r="AH26" i="1"/>
  <c r="L26" i="3" s="1"/>
  <c r="L24" i="3"/>
  <c r="M18" i="3"/>
  <c r="AI20" i="1"/>
  <c r="M20" i="3" s="1"/>
  <c r="AI19" i="1"/>
  <c r="M19" i="3" s="1"/>
  <c r="N35" i="3"/>
  <c r="AI48" i="1"/>
  <c r="AJ39" i="1"/>
  <c r="AH46" i="1"/>
  <c r="L44" i="3"/>
  <c r="AP12" i="1"/>
  <c r="T12" i="3" s="1"/>
  <c r="T10" i="3"/>
  <c r="N13" i="3"/>
  <c r="AJ14" i="1"/>
  <c r="L88" i="3"/>
  <c r="AH89" i="1"/>
  <c r="L89" i="3" s="1"/>
  <c r="AG93" i="1"/>
  <c r="K93" i="3" s="1"/>
  <c r="K87" i="3"/>
  <c r="AG90" i="1"/>
  <c r="AO51" i="1"/>
  <c r="S51" i="3" s="1"/>
  <c r="S50" i="3"/>
  <c r="AP66" i="1"/>
  <c r="T66" i="3" s="1"/>
  <c r="AP50" i="1"/>
  <c r="AP28" i="1"/>
  <c r="AP29" i="1"/>
  <c r="AP37" i="1"/>
  <c r="T37" i="3" s="1"/>
  <c r="M42" i="3" l="1"/>
  <c r="AH53" i="1"/>
  <c r="L53" i="3" s="1"/>
  <c r="L46" i="3"/>
  <c r="M48" i="3"/>
  <c r="AI49" i="1"/>
  <c r="M49" i="3" s="1"/>
  <c r="AC28" i="1"/>
  <c r="N9" i="1" s="1"/>
  <c r="T28" i="3"/>
  <c r="N39" i="3"/>
  <c r="AJ40" i="1"/>
  <c r="N40" i="3" s="1"/>
  <c r="AJ41" i="1"/>
  <c r="N41" i="3" s="1"/>
  <c r="AI22" i="1"/>
  <c r="AC29" i="1"/>
  <c r="N10" i="1" s="1"/>
  <c r="M10" i="1" s="1"/>
  <c r="T29" i="3"/>
  <c r="AK35" i="1"/>
  <c r="N14" i="3"/>
  <c r="AJ18" i="1"/>
  <c r="AK13" i="1"/>
  <c r="AJ21" i="1"/>
  <c r="N21" i="3" s="1"/>
  <c r="M44" i="3"/>
  <c r="AI46" i="1"/>
  <c r="M46" i="3" s="1"/>
  <c r="AP51" i="1"/>
  <c r="T51" i="3" s="1"/>
  <c r="T50" i="3"/>
  <c r="AG91" i="1"/>
  <c r="K90" i="3"/>
  <c r="AG95" i="1"/>
  <c r="K95" i="3" s="1"/>
  <c r="M9" i="1"/>
  <c r="AI88" i="1" l="1"/>
  <c r="AI53" i="1"/>
  <c r="M53" i="3" s="1"/>
  <c r="O35" i="3"/>
  <c r="AJ48" i="1"/>
  <c r="AK39" i="1"/>
  <c r="N11" i="1"/>
  <c r="M11" i="1" s="1"/>
  <c r="M22" i="3"/>
  <c r="AI24" i="1"/>
  <c r="AJ42" i="1"/>
  <c r="M88" i="3"/>
  <c r="AI89" i="1"/>
  <c r="M89" i="3" s="1"/>
  <c r="O13" i="3"/>
  <c r="AK14" i="1"/>
  <c r="N18" i="3"/>
  <c r="AJ19" i="1"/>
  <c r="N19" i="3" s="1"/>
  <c r="AJ20" i="1"/>
  <c r="N20" i="3" s="1"/>
  <c r="AH87" i="1"/>
  <c r="K91" i="3"/>
  <c r="AJ22" i="1" l="1"/>
  <c r="AJ24" i="1" s="1"/>
  <c r="AL13" i="1"/>
  <c r="AL35" i="1"/>
  <c r="O14" i="3"/>
  <c r="AK18" i="1"/>
  <c r="AK21" i="1"/>
  <c r="O21" i="3" s="1"/>
  <c r="AI26" i="1"/>
  <c r="M26" i="3" s="1"/>
  <c r="M24" i="3"/>
  <c r="O39" i="3"/>
  <c r="AK40" i="1"/>
  <c r="O40" i="3" s="1"/>
  <c r="AK41" i="1"/>
  <c r="O41" i="3" s="1"/>
  <c r="N48" i="3"/>
  <c r="AJ49" i="1"/>
  <c r="N49" i="3" s="1"/>
  <c r="AJ44" i="1"/>
  <c r="N42" i="3"/>
  <c r="AH93" i="1"/>
  <c r="L93" i="3" s="1"/>
  <c r="L87" i="3"/>
  <c r="AH90" i="1"/>
  <c r="AP49" i="1"/>
  <c r="AP88" i="1" l="1"/>
  <c r="T88" i="3" s="1"/>
  <c r="T49" i="3"/>
  <c r="N22" i="3"/>
  <c r="AJ88" i="1"/>
  <c r="N88" i="3" s="1"/>
  <c r="N24" i="3"/>
  <c r="AJ26" i="1"/>
  <c r="N26" i="3" s="1"/>
  <c r="N44" i="3"/>
  <c r="AJ46" i="1"/>
  <c r="AK42" i="1"/>
  <c r="O18" i="3"/>
  <c r="AK19" i="1"/>
  <c r="O19" i="3" s="1"/>
  <c r="AK20" i="1"/>
  <c r="O20" i="3" s="1"/>
  <c r="P35" i="3"/>
  <c r="AK48" i="1"/>
  <c r="AL39" i="1"/>
  <c r="AL14" i="1"/>
  <c r="P13" i="3"/>
  <c r="L90" i="3"/>
  <c r="AH95" i="1"/>
  <c r="L95" i="3" s="1"/>
  <c r="AH91" i="1"/>
  <c r="H15" i="1"/>
  <c r="AJ89" i="1" l="1"/>
  <c r="N89" i="3" s="1"/>
  <c r="AK22" i="1"/>
  <c r="AK24" i="1" s="1"/>
  <c r="N46" i="3"/>
  <c r="AJ53" i="1"/>
  <c r="N53" i="3" s="1"/>
  <c r="AK44" i="1"/>
  <c r="O42" i="3"/>
  <c r="AM13" i="1"/>
  <c r="P14" i="3"/>
  <c r="AM35" i="1"/>
  <c r="AL21" i="1"/>
  <c r="P21" i="3" s="1"/>
  <c r="AL18" i="1"/>
  <c r="P39" i="3"/>
  <c r="AL41" i="1"/>
  <c r="P41" i="3" s="1"/>
  <c r="AL40" i="1"/>
  <c r="P40" i="3" s="1"/>
  <c r="O48" i="3"/>
  <c r="AK49" i="1"/>
  <c r="O49" i="3" s="1"/>
  <c r="AI87" i="1"/>
  <c r="L91" i="3"/>
  <c r="AK88" i="1" l="1"/>
  <c r="O22" i="3"/>
  <c r="AL42" i="1"/>
  <c r="P42" i="3" s="1"/>
  <c r="AL44" i="1"/>
  <c r="Q13" i="3"/>
  <c r="AM14" i="1"/>
  <c r="AK46" i="1"/>
  <c r="O44" i="3"/>
  <c r="AK26" i="1"/>
  <c r="O24" i="3"/>
  <c r="P18" i="3"/>
  <c r="AL20" i="1"/>
  <c r="P20" i="3" s="1"/>
  <c r="AL19" i="1"/>
  <c r="P19" i="3" s="1"/>
  <c r="Q35" i="3"/>
  <c r="AL48" i="1"/>
  <c r="AM39" i="1"/>
  <c r="O88" i="3"/>
  <c r="AK89" i="1"/>
  <c r="O89" i="3" s="1"/>
  <c r="AI93" i="1"/>
  <c r="M93" i="3" s="1"/>
  <c r="M87" i="3"/>
  <c r="AI90" i="1"/>
  <c r="AL22" i="1" l="1"/>
  <c r="P22" i="3" s="1"/>
  <c r="P48" i="3"/>
  <c r="AL49" i="1"/>
  <c r="P49" i="3" s="1"/>
  <c r="O46" i="3"/>
  <c r="AK53" i="1"/>
  <c r="O53" i="3" s="1"/>
  <c r="AN13" i="1"/>
  <c r="Q14" i="3"/>
  <c r="AN35" i="1"/>
  <c r="AM18" i="1"/>
  <c r="AM21" i="1"/>
  <c r="Q21" i="3" s="1"/>
  <c r="AL46" i="1"/>
  <c r="P46" i="3" s="1"/>
  <c r="P44" i="3"/>
  <c r="Q39" i="3"/>
  <c r="AM41" i="1"/>
  <c r="Q41" i="3" s="1"/>
  <c r="AM40" i="1"/>
  <c r="Q40" i="3" s="1"/>
  <c r="O26" i="3"/>
  <c r="AI91" i="1"/>
  <c r="M90" i="3"/>
  <c r="AI95" i="1"/>
  <c r="M95" i="3" s="1"/>
  <c r="AL24" i="1" l="1"/>
  <c r="P24" i="3" s="1"/>
  <c r="AL88" i="1"/>
  <c r="R35" i="3"/>
  <c r="AM48" i="1"/>
  <c r="AN39" i="1"/>
  <c r="AL53" i="1"/>
  <c r="P53" i="3" s="1"/>
  <c r="Q18" i="3"/>
  <c r="AM20" i="1"/>
  <c r="Q20" i="3" s="1"/>
  <c r="AM19" i="1"/>
  <c r="Q19" i="3" s="1"/>
  <c r="R13" i="3"/>
  <c r="AN14" i="1"/>
  <c r="P88" i="3"/>
  <c r="AL89" i="1"/>
  <c r="P89" i="3" s="1"/>
  <c r="AM42" i="1"/>
  <c r="AJ87" i="1"/>
  <c r="M91" i="3"/>
  <c r="AL26" i="1" l="1"/>
  <c r="P26" i="3" s="1"/>
  <c r="AO13" i="1"/>
  <c r="R14" i="3"/>
  <c r="AO35" i="1"/>
  <c r="AN21" i="1"/>
  <c r="R21" i="3" s="1"/>
  <c r="AN18" i="1"/>
  <c r="AM22" i="1"/>
  <c r="R39" i="3"/>
  <c r="AN40" i="1"/>
  <c r="R40" i="3" s="1"/>
  <c r="AN41" i="1"/>
  <c r="R41" i="3" s="1"/>
  <c r="AM44" i="1"/>
  <c r="Q42" i="3"/>
  <c r="Q48" i="3"/>
  <c r="AM49" i="1"/>
  <c r="Q49" i="3" s="1"/>
  <c r="AJ93" i="1"/>
  <c r="N93" i="3" s="1"/>
  <c r="N87" i="3"/>
  <c r="AJ90" i="1"/>
  <c r="AM88" i="1" l="1"/>
  <c r="Q88" i="3" s="1"/>
  <c r="Q22" i="3"/>
  <c r="AM24" i="1"/>
  <c r="R18" i="3"/>
  <c r="AN20" i="1"/>
  <c r="R20" i="3" s="1"/>
  <c r="AN19" i="1"/>
  <c r="R19" i="3" s="1"/>
  <c r="S35" i="3"/>
  <c r="AN48" i="1"/>
  <c r="AO39" i="1"/>
  <c r="AM89" i="1"/>
  <c r="Q89" i="3" s="1"/>
  <c r="S13" i="3"/>
  <c r="AO14" i="1"/>
  <c r="Q44" i="3"/>
  <c r="AM46" i="1"/>
  <c r="AN42" i="1"/>
  <c r="AJ91" i="1"/>
  <c r="N90" i="3"/>
  <c r="AJ95" i="1"/>
  <c r="N95" i="3" s="1"/>
  <c r="S42" i="1"/>
  <c r="T42" i="1" s="1"/>
  <c r="AN22" i="1" l="1"/>
  <c r="R22" i="3" s="1"/>
  <c r="R48" i="3"/>
  <c r="AN49" i="1"/>
  <c r="AN88" i="1" s="1"/>
  <c r="AP13" i="1"/>
  <c r="S14" i="3"/>
  <c r="AP35" i="1"/>
  <c r="AO21" i="1"/>
  <c r="S21" i="3" s="1"/>
  <c r="AO18" i="1"/>
  <c r="AO40" i="1"/>
  <c r="S40" i="3" s="1"/>
  <c r="AO41" i="1"/>
  <c r="S41" i="3" s="1"/>
  <c r="S39" i="3"/>
  <c r="AN24" i="1"/>
  <c r="AN44" i="1"/>
  <c r="R42" i="3"/>
  <c r="Q46" i="3"/>
  <c r="AM53" i="1"/>
  <c r="Q53" i="3" s="1"/>
  <c r="AM26" i="1"/>
  <c r="Q24" i="3"/>
  <c r="AK87" i="1"/>
  <c r="N91" i="3"/>
  <c r="AN26" i="1" l="1"/>
  <c r="R24" i="3"/>
  <c r="AO19" i="1"/>
  <c r="S19" i="3" s="1"/>
  <c r="S18" i="3"/>
  <c r="AO20" i="1"/>
  <c r="S20" i="3" s="1"/>
  <c r="Q26" i="3"/>
  <c r="R88" i="3"/>
  <c r="AN89" i="1"/>
  <c r="R89" i="3" s="1"/>
  <c r="R49" i="3"/>
  <c r="AO42" i="1"/>
  <c r="T35" i="3"/>
  <c r="AO48" i="1"/>
  <c r="AP39" i="1"/>
  <c r="T13" i="3"/>
  <c r="AP14" i="1"/>
  <c r="R44" i="3"/>
  <c r="AN46" i="1"/>
  <c r="AK93" i="1"/>
  <c r="O93" i="3" s="1"/>
  <c r="O87" i="3"/>
  <c r="AK90" i="1"/>
  <c r="AO22" i="1" l="1"/>
  <c r="S22" i="3" s="1"/>
  <c r="AO44" i="1"/>
  <c r="S42" i="3"/>
  <c r="R46" i="3"/>
  <c r="AN53" i="1"/>
  <c r="R53" i="3" s="1"/>
  <c r="T14" i="3"/>
  <c r="AP21" i="1"/>
  <c r="T21" i="3" s="1"/>
  <c r="AP18" i="1"/>
  <c r="AP40" i="1"/>
  <c r="T40" i="3" s="1"/>
  <c r="T39" i="3"/>
  <c r="AP41" i="1"/>
  <c r="T41" i="3" s="1"/>
  <c r="S48" i="3"/>
  <c r="AO49" i="1"/>
  <c r="AO88" i="1" s="1"/>
  <c r="AC48" i="1"/>
  <c r="N22" i="1" s="1"/>
  <c r="R26" i="3"/>
  <c r="AK91" i="1"/>
  <c r="O90" i="3"/>
  <c r="AK95" i="1"/>
  <c r="O95" i="3" s="1"/>
  <c r="AO24" i="1" l="1"/>
  <c r="AO26" i="1" s="1"/>
  <c r="AP42" i="1"/>
  <c r="AP44" i="1" s="1"/>
  <c r="M22" i="1"/>
  <c r="S88" i="3"/>
  <c r="AC88" i="1"/>
  <c r="N27" i="1" s="1"/>
  <c r="M27" i="1" s="1"/>
  <c r="AP89" i="1"/>
  <c r="T89" i="3" s="1"/>
  <c r="AO89" i="1"/>
  <c r="S89" i="3" s="1"/>
  <c r="S49" i="3"/>
  <c r="AC49" i="1"/>
  <c r="N23" i="1" s="1"/>
  <c r="M23" i="1" s="1"/>
  <c r="T18" i="3"/>
  <c r="AP20" i="1"/>
  <c r="T20" i="3" s="1"/>
  <c r="AP19" i="1"/>
  <c r="T19" i="3" s="1"/>
  <c r="S44" i="3"/>
  <c r="AO46" i="1"/>
  <c r="S46" i="3" s="1"/>
  <c r="AL87" i="1"/>
  <c r="O91" i="3"/>
  <c r="M24" i="1" l="1"/>
  <c r="S24" i="3"/>
  <c r="AP22" i="1"/>
  <c r="T22" i="3" s="1"/>
  <c r="T42" i="3"/>
  <c r="S26" i="3"/>
  <c r="N24" i="1"/>
  <c r="AO53" i="1"/>
  <c r="S53" i="3" s="1"/>
  <c r="AP46" i="1"/>
  <c r="T44" i="3"/>
  <c r="AL93" i="1"/>
  <c r="P93" i="3" s="1"/>
  <c r="P87" i="3"/>
  <c r="AL90" i="1"/>
  <c r="AP24" i="1" l="1"/>
  <c r="T24" i="3" s="1"/>
  <c r="AP53" i="1"/>
  <c r="T46" i="3"/>
  <c r="L23" i="1"/>
  <c r="L24" i="1"/>
  <c r="L22" i="1"/>
  <c r="AL91" i="1"/>
  <c r="P90" i="3"/>
  <c r="AL95" i="1"/>
  <c r="P95" i="3" s="1"/>
  <c r="AC74" i="1"/>
  <c r="AP26" i="1" l="1"/>
  <c r="T26" i="3" s="1"/>
  <c r="T53" i="3"/>
  <c r="AM87" i="1"/>
  <c r="P91" i="3"/>
  <c r="T13" i="1" l="1"/>
  <c r="AL30" i="1" s="1"/>
  <c r="T36" i="1" a="1"/>
  <c r="T36" i="1" s="1"/>
  <c r="S38" i="1" s="1"/>
  <c r="AM93" i="1"/>
  <c r="Q93" i="3" s="1"/>
  <c r="Q87" i="3"/>
  <c r="AM90" i="1"/>
  <c r="T37" i="1" l="1"/>
  <c r="S39" i="1" s="1"/>
  <c r="S13" i="1"/>
  <c r="AJ30" i="1"/>
  <c r="N30" i="3" s="1"/>
  <c r="AM30" i="1"/>
  <c r="AM31" i="1" s="1"/>
  <c r="Q31" i="3" s="1"/>
  <c r="AH30" i="1"/>
  <c r="L30" i="3" s="1"/>
  <c r="AO30" i="1"/>
  <c r="S30" i="3" s="1"/>
  <c r="AF30" i="1"/>
  <c r="AF31" i="1" s="1"/>
  <c r="J31" i="3" s="1"/>
  <c r="AG30" i="1"/>
  <c r="K30" i="3" s="1"/>
  <c r="AK30" i="1"/>
  <c r="AK31" i="1" s="1"/>
  <c r="O31" i="3" s="1"/>
  <c r="T14" i="1"/>
  <c r="S14" i="1" s="1"/>
  <c r="AI30" i="1"/>
  <c r="AI31" i="1" s="1"/>
  <c r="M31" i="3" s="1"/>
  <c r="AN30" i="1"/>
  <c r="AN31" i="1" s="1"/>
  <c r="R31" i="3" s="1"/>
  <c r="AP30" i="1"/>
  <c r="T30" i="3" s="1"/>
  <c r="AE30" i="1"/>
  <c r="I30" i="3" s="1"/>
  <c r="T40" i="1"/>
  <c r="AN77" i="1" s="1"/>
  <c r="R77" i="3" s="1"/>
  <c r="M30" i="3"/>
  <c r="P30" i="3"/>
  <c r="AL31" i="1"/>
  <c r="P31" i="3" s="1"/>
  <c r="Q90" i="3"/>
  <c r="AM95" i="1"/>
  <c r="Q95" i="3" s="1"/>
  <c r="AM91" i="1"/>
  <c r="AP31" i="1" l="1"/>
  <c r="T31" i="3" s="1"/>
  <c r="O30" i="3"/>
  <c r="R30" i="3"/>
  <c r="AG31" i="1"/>
  <c r="K31" i="3" s="1"/>
  <c r="J30" i="3"/>
  <c r="AO31" i="1"/>
  <c r="S31" i="3" s="1"/>
  <c r="Q30" i="3"/>
  <c r="AJ31" i="1"/>
  <c r="N31" i="3" s="1"/>
  <c r="AI77" i="1"/>
  <c r="M77" i="3" s="1"/>
  <c r="AE77" i="1"/>
  <c r="I77" i="3" s="1"/>
  <c r="AL77" i="1"/>
  <c r="P77" i="3" s="1"/>
  <c r="AK77" i="1"/>
  <c r="O77" i="3" s="1"/>
  <c r="AH31" i="1"/>
  <c r="L31" i="3" s="1"/>
  <c r="T43" i="1"/>
  <c r="AP77" i="1"/>
  <c r="T77" i="3" s="1"/>
  <c r="AJ77" i="1"/>
  <c r="N77" i="3" s="1"/>
  <c r="AO77" i="1"/>
  <c r="S77" i="3" s="1"/>
  <c r="AF77" i="1"/>
  <c r="J77" i="3" s="1"/>
  <c r="AM77" i="1"/>
  <c r="Q77" i="3" s="1"/>
  <c r="AH77" i="1"/>
  <c r="L77" i="3" s="1"/>
  <c r="AE31" i="1"/>
  <c r="I31" i="3" s="1"/>
  <c r="AG77" i="1"/>
  <c r="K77" i="3" s="1"/>
  <c r="T15" i="1"/>
  <c r="S15" i="1" s="1"/>
  <c r="AI33" i="1"/>
  <c r="M33" i="3" s="1"/>
  <c r="AF33" i="1"/>
  <c r="J33" i="3" s="1"/>
  <c r="AL33" i="1"/>
  <c r="P33" i="3" s="1"/>
  <c r="AN33" i="1"/>
  <c r="AN55" i="1" s="1"/>
  <c r="R55" i="3" s="1"/>
  <c r="AK33" i="1"/>
  <c r="O33" i="3" s="1"/>
  <c r="AJ33" i="1"/>
  <c r="N33" i="3" s="1"/>
  <c r="AG33" i="1"/>
  <c r="AG55" i="1" s="1"/>
  <c r="K55" i="3" s="1"/>
  <c r="AM33" i="1"/>
  <c r="AN87" i="1"/>
  <c r="Q91" i="3"/>
  <c r="AP33" i="1" l="1"/>
  <c r="T33" i="3" s="1"/>
  <c r="AH33" i="1"/>
  <c r="L33" i="3" s="1"/>
  <c r="AI55" i="1"/>
  <c r="M55" i="3" s="1"/>
  <c r="AL55" i="1"/>
  <c r="P55" i="3" s="1"/>
  <c r="AO33" i="1"/>
  <c r="AO55" i="1" s="1"/>
  <c r="S55" i="3" s="1"/>
  <c r="AP55" i="1"/>
  <c r="T55" i="3" s="1"/>
  <c r="R33" i="3"/>
  <c r="AF55" i="1"/>
  <c r="J55" i="3" s="1"/>
  <c r="AE33" i="1"/>
  <c r="I33" i="3" s="1"/>
  <c r="AC77" i="1"/>
  <c r="AM78" i="1" s="1"/>
  <c r="Q78" i="3" s="1"/>
  <c r="AJ55" i="1"/>
  <c r="N55" i="3" s="1"/>
  <c r="AK55" i="1"/>
  <c r="O55" i="3" s="1"/>
  <c r="AH55" i="1"/>
  <c r="L55" i="3" s="1"/>
  <c r="K33" i="3"/>
  <c r="S33" i="3"/>
  <c r="Q33" i="3"/>
  <c r="AM55" i="1"/>
  <c r="Q55" i="3" s="1"/>
  <c r="AN93" i="1"/>
  <c r="R93" i="3" s="1"/>
  <c r="R87" i="3"/>
  <c r="AN90" i="1"/>
  <c r="AF78" i="1" l="1"/>
  <c r="J78" i="3" s="1"/>
  <c r="AK78" i="1"/>
  <c r="O78" i="3" s="1"/>
  <c r="AP78" i="1"/>
  <c r="T78" i="3" s="1"/>
  <c r="AE55" i="1"/>
  <c r="I55" i="3" s="1"/>
  <c r="AJ78" i="1"/>
  <c r="N78" i="3" s="1"/>
  <c r="AN78" i="1"/>
  <c r="R78" i="3" s="1"/>
  <c r="AO78" i="1"/>
  <c r="S78" i="3" s="1"/>
  <c r="AG78" i="1"/>
  <c r="K78" i="3" s="1"/>
  <c r="AH78" i="1"/>
  <c r="L78" i="3" s="1"/>
  <c r="AE78" i="1"/>
  <c r="I78" i="3" s="1"/>
  <c r="AI78" i="1"/>
  <c r="M78" i="3" s="1"/>
  <c r="AL78" i="1"/>
  <c r="P78" i="3" s="1"/>
  <c r="AA58" i="1"/>
  <c r="E58" i="3" s="1"/>
  <c r="AA60" i="1"/>
  <c r="E60" i="3" s="1"/>
  <c r="R90" i="3"/>
  <c r="AN95" i="1"/>
  <c r="R95" i="3" s="1"/>
  <c r="AN91" i="1"/>
  <c r="AE79" i="1" l="1"/>
  <c r="I79" i="3" s="1"/>
  <c r="AA59" i="1"/>
  <c r="E59" i="3" s="1"/>
  <c r="AE80" i="1"/>
  <c r="AO87" i="1"/>
  <c r="R91" i="3"/>
  <c r="L33" i="1" l="1" a="1"/>
  <c r="L33" i="1" s="1"/>
  <c r="AF76" i="1"/>
  <c r="I80" i="3"/>
  <c r="AO93" i="1"/>
  <c r="S93" i="3" s="1"/>
  <c r="S87" i="3"/>
  <c r="AO90" i="1"/>
  <c r="AO91" i="1" s="1"/>
  <c r="N33" i="1" l="1"/>
  <c r="M33" i="1"/>
  <c r="AF82" i="1"/>
  <c r="J82" i="3" s="1"/>
  <c r="AF79" i="1"/>
  <c r="J79" i="3" s="1"/>
  <c r="J76" i="3"/>
  <c r="S90" i="3"/>
  <c r="AO95" i="1"/>
  <c r="S95" i="3" s="1"/>
  <c r="AP87" i="1"/>
  <c r="S91" i="3"/>
  <c r="AF80" i="1" l="1"/>
  <c r="J80" i="3" s="1"/>
  <c r="AP93" i="1"/>
  <c r="T93" i="3" s="1"/>
  <c r="T87" i="3"/>
  <c r="AP90" i="1"/>
  <c r="AP91" i="1" s="1"/>
  <c r="T91" i="3" s="1"/>
  <c r="AG76" i="1" l="1"/>
  <c r="K76" i="3" s="1"/>
  <c r="AG82" i="1"/>
  <c r="K82" i="3" s="1"/>
  <c r="AG79" i="1"/>
  <c r="K79" i="3" s="1"/>
  <c r="T90" i="3"/>
  <c r="AP95" i="1"/>
  <c r="T95" i="3" s="1"/>
  <c r="AG80" i="1" l="1"/>
  <c r="AC95" i="1"/>
  <c r="N26" i="1" s="1"/>
  <c r="K80" i="3" l="1"/>
  <c r="AH76" i="1"/>
  <c r="M26" i="1"/>
  <c r="N28" i="1"/>
  <c r="AH82" i="1" l="1"/>
  <c r="L82" i="3" s="1"/>
  <c r="L76" i="3"/>
  <c r="AH79" i="1"/>
  <c r="L79" i="3" s="1"/>
  <c r="N29" i="1"/>
  <c r="L28" i="1" s="1"/>
  <c r="M28" i="1"/>
  <c r="AH80" i="1" l="1"/>
  <c r="L80" i="3" s="1"/>
  <c r="M29" i="1"/>
  <c r="L29" i="1"/>
  <c r="L27" i="1"/>
  <c r="L26" i="1"/>
  <c r="AI76" i="1" l="1"/>
  <c r="AI82" i="1" s="1"/>
  <c r="M82" i="3" s="1"/>
  <c r="AC66" i="1"/>
  <c r="AI79" i="1" l="1"/>
  <c r="M79" i="3" s="1"/>
  <c r="M76" i="3"/>
  <c r="AI80" i="1"/>
  <c r="M80" i="3" s="1"/>
  <c r="AE69" i="1"/>
  <c r="T33" i="1"/>
  <c r="N16" i="1"/>
  <c r="AJ76" i="1" l="1"/>
  <c r="AJ82" i="1" s="1"/>
  <c r="N82" i="3" s="1"/>
  <c r="AF65" i="1"/>
  <c r="AF71" i="1" s="1"/>
  <c r="J71" i="3" s="1"/>
  <c r="I69" i="3"/>
  <c r="M16" i="1"/>
  <c r="AL63" i="1"/>
  <c r="P63" i="3" s="1"/>
  <c r="AE63" i="1"/>
  <c r="I63" i="3" s="1"/>
  <c r="AM63" i="1"/>
  <c r="Q63" i="3" s="1"/>
  <c r="AF63" i="1"/>
  <c r="AN63" i="1"/>
  <c r="R63" i="3" s="1"/>
  <c r="AG63" i="1"/>
  <c r="K63" i="3" s="1"/>
  <c r="AO63" i="1"/>
  <c r="S63" i="3" s="1"/>
  <c r="AH63" i="1"/>
  <c r="L63" i="3" s="1"/>
  <c r="AP63" i="1"/>
  <c r="T63" i="3" s="1"/>
  <c r="AI63" i="1"/>
  <c r="M63" i="3" s="1"/>
  <c r="AJ63" i="1"/>
  <c r="N63" i="3" s="1"/>
  <c r="AK63" i="1"/>
  <c r="O63" i="3" s="1"/>
  <c r="AJ79" i="1" l="1"/>
  <c r="N79" i="3" s="1"/>
  <c r="N76" i="3"/>
  <c r="J63" i="3"/>
  <c r="AF68" i="1"/>
  <c r="AF84" i="1" s="1"/>
  <c r="J84" i="3" s="1"/>
  <c r="J65" i="3"/>
  <c r="AC63" i="1"/>
  <c r="N12" i="1" s="1"/>
  <c r="AE84" i="1"/>
  <c r="I84" i="3" s="1"/>
  <c r="AJ80" i="1" l="1"/>
  <c r="N80" i="3" s="1"/>
  <c r="AF97" i="1"/>
  <c r="J97" i="3" s="1"/>
  <c r="J68" i="3"/>
  <c r="AF69" i="1"/>
  <c r="M12" i="1"/>
  <c r="AE97" i="1"/>
  <c r="I97" i="3" s="1"/>
  <c r="AK76" i="1" l="1"/>
  <c r="AK82" i="1"/>
  <c r="O82" i="3" s="1"/>
  <c r="O76" i="3"/>
  <c r="AK79" i="1"/>
  <c r="AG65" i="1"/>
  <c r="J69" i="3"/>
  <c r="K65" i="3" l="1"/>
  <c r="AG71" i="1"/>
  <c r="K71" i="3" s="1"/>
  <c r="AG68" i="1"/>
  <c r="AK80" i="1"/>
  <c r="O79" i="3"/>
  <c r="O80" i="3" l="1"/>
  <c r="AL76" i="1"/>
  <c r="AG69" i="1"/>
  <c r="K68" i="3"/>
  <c r="AG84" i="1"/>
  <c r="AG97" i="1" l="1"/>
  <c r="K97" i="3" s="1"/>
  <c r="K84" i="3"/>
  <c r="AH65" i="1"/>
  <c r="K69" i="3"/>
  <c r="AL79" i="1"/>
  <c r="AL82" i="1"/>
  <c r="P82" i="3" s="1"/>
  <c r="P76" i="3"/>
  <c r="AL80" i="1" l="1"/>
  <c r="P79" i="3"/>
  <c r="L65" i="3"/>
  <c r="AH71" i="1"/>
  <c r="L71" i="3" s="1"/>
  <c r="AH68" i="1"/>
  <c r="AH69" i="1" l="1"/>
  <c r="L68" i="3"/>
  <c r="AH84" i="1"/>
  <c r="AM76" i="1"/>
  <c r="P80" i="3"/>
  <c r="AM82" i="1" l="1"/>
  <c r="Q82" i="3" s="1"/>
  <c r="Q76" i="3"/>
  <c r="AM79" i="1"/>
  <c r="L84" i="3"/>
  <c r="AH97" i="1"/>
  <c r="L97" i="3" s="1"/>
  <c r="AI65" i="1"/>
  <c r="L69" i="3"/>
  <c r="M65" i="3" l="1"/>
  <c r="AI71" i="1"/>
  <c r="M71" i="3" s="1"/>
  <c r="AI68" i="1"/>
  <c r="Q79" i="3"/>
  <c r="AM80" i="1"/>
  <c r="AI84" i="1" l="1"/>
  <c r="M68" i="3"/>
  <c r="AN76" i="1"/>
  <c r="Q80" i="3"/>
  <c r="AI69" i="1"/>
  <c r="AJ65" i="1" l="1"/>
  <c r="M69" i="3"/>
  <c r="AN82" i="1"/>
  <c r="R82" i="3" s="1"/>
  <c r="R76" i="3"/>
  <c r="AN79" i="1"/>
  <c r="M84" i="3"/>
  <c r="AI97" i="1"/>
  <c r="M97" i="3" s="1"/>
  <c r="AN80" i="1" l="1"/>
  <c r="R79" i="3"/>
  <c r="AJ71" i="1"/>
  <c r="N71" i="3" s="1"/>
  <c r="N65" i="3"/>
  <c r="AJ68" i="1"/>
  <c r="AJ69" i="1" l="1"/>
  <c r="N68" i="3"/>
  <c r="AJ84" i="1"/>
  <c r="R80" i="3"/>
  <c r="AO76" i="1"/>
  <c r="AO79" i="1" l="1"/>
  <c r="AO82" i="1"/>
  <c r="S82" i="3" s="1"/>
  <c r="S76" i="3"/>
  <c r="AJ97" i="1"/>
  <c r="N97" i="3" s="1"/>
  <c r="N84" i="3"/>
  <c r="AK65" i="1"/>
  <c r="N69" i="3"/>
  <c r="M13" i="1"/>
  <c r="N13" i="1"/>
  <c r="O65" i="3" l="1"/>
  <c r="AK68" i="1"/>
  <c r="AK69" i="1" s="1"/>
  <c r="AK71" i="1"/>
  <c r="O71" i="3" s="1"/>
  <c r="S79" i="3"/>
  <c r="AO80" i="1"/>
  <c r="L10" i="1"/>
  <c r="L9" i="1"/>
  <c r="L13" i="1"/>
  <c r="L11" i="1"/>
  <c r="L12" i="1"/>
  <c r="AP76" i="1" l="1"/>
  <c r="S80" i="3"/>
  <c r="AL65" i="1"/>
  <c r="O69" i="3"/>
  <c r="O68" i="3"/>
  <c r="AK84" i="1"/>
  <c r="AK97" i="1" l="1"/>
  <c r="O97" i="3" s="1"/>
  <c r="O84" i="3"/>
  <c r="P65" i="3"/>
  <c r="AL68" i="1"/>
  <c r="AL69" i="1" s="1"/>
  <c r="AL71" i="1"/>
  <c r="P71" i="3" s="1"/>
  <c r="AP82" i="1"/>
  <c r="T82" i="3" s="1"/>
  <c r="T76" i="3"/>
  <c r="AP79" i="1"/>
  <c r="AP80" i="1" l="1"/>
  <c r="T80" i="3" s="1"/>
  <c r="T79" i="3"/>
  <c r="AM65" i="1"/>
  <c r="P69" i="3"/>
  <c r="P68" i="3"/>
  <c r="AL84" i="1"/>
  <c r="P84" i="3" l="1"/>
  <c r="AL97" i="1"/>
  <c r="Q65" i="3"/>
  <c r="AM71" i="1"/>
  <c r="Q71" i="3" s="1"/>
  <c r="AM68" i="1"/>
  <c r="AM69" i="1" s="1"/>
  <c r="AN65" i="1" l="1"/>
  <c r="Q69" i="3"/>
  <c r="Q68" i="3"/>
  <c r="AM84" i="1"/>
  <c r="P97" i="3"/>
  <c r="Q84" i="3" l="1"/>
  <c r="AM97" i="1"/>
  <c r="R65" i="3"/>
  <c r="AN71" i="1"/>
  <c r="AN68" i="1"/>
  <c r="R68" i="3" s="1"/>
  <c r="AN69" i="1" l="1"/>
  <c r="Q97" i="3"/>
  <c r="AN84" i="1"/>
  <c r="R71" i="3"/>
  <c r="AN97" i="1" l="1"/>
  <c r="R84" i="3"/>
  <c r="AO65" i="1"/>
  <c r="R69" i="3"/>
  <c r="S65" i="3" l="1"/>
  <c r="AO71" i="1"/>
  <c r="S71" i="3" s="1"/>
  <c r="AO68" i="1"/>
  <c r="AO69" i="1" s="1"/>
  <c r="R97" i="3"/>
  <c r="AP65" i="1" l="1"/>
  <c r="S69" i="3"/>
  <c r="S68" i="3"/>
  <c r="AO84" i="1"/>
  <c r="S84" i="3" l="1"/>
  <c r="AO97" i="1"/>
  <c r="T65" i="3"/>
  <c r="AP71" i="1"/>
  <c r="T71" i="3" s="1"/>
  <c r="AP68" i="1"/>
  <c r="AP69" i="1" l="1"/>
  <c r="T69" i="3" s="1"/>
  <c r="T68" i="3"/>
  <c r="AP84" i="1"/>
  <c r="S97" i="3"/>
  <c r="AP97" i="1" l="1"/>
  <c r="T84" i="3"/>
  <c r="AC84" i="1"/>
  <c r="N15" i="1" s="1"/>
  <c r="M15" i="1" l="1"/>
  <c r="N17" i="1"/>
  <c r="M17" i="1" s="1"/>
  <c r="T97" i="3"/>
  <c r="AC97" i="1"/>
  <c r="AA102" i="1"/>
  <c r="E102" i="3" s="1"/>
  <c r="AA100" i="1"/>
  <c r="AA101" i="1"/>
  <c r="E101" i="3" s="1"/>
  <c r="N18" i="1" l="1"/>
  <c r="L15" i="1" s="1"/>
  <c r="E100" i="3"/>
  <c r="L34" i="1" a="1"/>
  <c r="L17" i="1"/>
  <c r="M18" i="1"/>
  <c r="L16" i="1"/>
  <c r="L18" i="1" l="1"/>
  <c r="M34" i="1"/>
  <c r="N34" i="1"/>
  <c r="L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<sst xmlns="http://schemas.openxmlformats.org/spreadsheetml/2006/main" count="207" uniqueCount="118">
  <si>
    <t>x</t>
  </si>
  <si>
    <t>Property Summary</t>
  </si>
  <si>
    <t>Project Name</t>
  </si>
  <si>
    <t>Analysis Start Date</t>
  </si>
  <si>
    <t>Location</t>
  </si>
  <si>
    <t>Total Lots</t>
  </si>
  <si>
    <t>$ Amt. Unless Otherwise Noted</t>
  </si>
  <si>
    <t>$ Amt.</t>
  </si>
  <si>
    <t>$ / Lot</t>
  </si>
  <si>
    <t>Financing Fee(s)</t>
  </si>
  <si>
    <t>Hold Period</t>
  </si>
  <si>
    <t>Global Assumptions</t>
  </si>
  <si>
    <t>Analysis End Date</t>
  </si>
  <si>
    <t>Exit Cap-Rate</t>
  </si>
  <si>
    <t>%</t>
  </si>
  <si>
    <t>Gross Sales Proceeds</t>
  </si>
  <si>
    <t>Sales Costs</t>
  </si>
  <si>
    <t>Net Sales Proceeds</t>
  </si>
  <si>
    <t>Financing Assumptions</t>
  </si>
  <si>
    <t>Interest Rate</t>
  </si>
  <si>
    <t>Max Loan Amount</t>
  </si>
  <si>
    <t>Loan Term</t>
  </si>
  <si>
    <t>Loan Start / End Date</t>
  </si>
  <si>
    <t>Refinance</t>
  </si>
  <si>
    <t>Forward Valuation</t>
  </si>
  <si>
    <t>Year</t>
  </si>
  <si>
    <t>Quarter</t>
  </si>
  <si>
    <t>Month</t>
  </si>
  <si>
    <t>Date</t>
  </si>
  <si>
    <t>Lot Rent</t>
  </si>
  <si>
    <t>General Vacancy</t>
  </si>
  <si>
    <t>Bad Debt / Collection Loss</t>
  </si>
  <si>
    <t>Net Operating Income (Lots)</t>
  </si>
  <si>
    <t>Total Park Owned Homes</t>
  </si>
  <si>
    <t>Park Owned Homes Rent</t>
  </si>
  <si>
    <t>Potential Gross Revenue (Lots)</t>
  </si>
  <si>
    <t>Effective Gross Revenue (Lots)</t>
  </si>
  <si>
    <t>Operating Expenses (Lots)</t>
  </si>
  <si>
    <t>Park Owned Homes Assumptions</t>
  </si>
  <si>
    <t>Sources &amp; Uses (Lots)</t>
  </si>
  <si>
    <t>Park Owned Homes Financing</t>
  </si>
  <si>
    <t>Exit Assumptions (Lots)</t>
  </si>
  <si>
    <t>% of Lots Park Owned Homes</t>
  </si>
  <si>
    <t>Gross Purchase Price</t>
  </si>
  <si>
    <t>Closing Costs</t>
  </si>
  <si>
    <t>Purchase Price</t>
  </si>
  <si>
    <t>$ / Home</t>
  </si>
  <si>
    <t>Home Rent (Excess of Lot Rent)</t>
  </si>
  <si>
    <t>Home Rent Growth</t>
  </si>
  <si>
    <t>Unlevered Cash Flow (Lots)</t>
  </si>
  <si>
    <t>Home Purchase</t>
  </si>
  <si>
    <t>Home Closing Costs</t>
  </si>
  <si>
    <t>Home Gross Sales Proceeds</t>
  </si>
  <si>
    <t>Home Sales Costs</t>
  </si>
  <si>
    <t>IRR</t>
  </si>
  <si>
    <t>CFx</t>
  </si>
  <si>
    <t>Net Profit</t>
  </si>
  <si>
    <t>Unlevered Cash Flow (Combined)</t>
  </si>
  <si>
    <t>Returns Summary (Unlevered)</t>
  </si>
  <si>
    <t>Max Loan / Home</t>
  </si>
  <si>
    <t>Uses</t>
  </si>
  <si>
    <t>Unlevered Uses</t>
  </si>
  <si>
    <t>Total Uses</t>
  </si>
  <si>
    <t>Sources</t>
  </si>
  <si>
    <t>Equity</t>
  </si>
  <si>
    <t>Debt</t>
  </si>
  <si>
    <t>Cash Flow</t>
  </si>
  <si>
    <t>Total Sources</t>
  </si>
  <si>
    <t>Returns Summary</t>
  </si>
  <si>
    <t>Unlevered</t>
  </si>
  <si>
    <t>Levered</t>
  </si>
  <si>
    <t>Total Project</t>
  </si>
  <si>
    <t>Loan Draw</t>
  </si>
  <si>
    <t>Loan Repayment Upon Refinance</t>
  </si>
  <si>
    <t>Interest Expense</t>
  </si>
  <si>
    <t>Loan Repayment Upon Exit</t>
  </si>
  <si>
    <t>Loan Amortization</t>
  </si>
  <si>
    <t>Levered Cash Flow (Lots)</t>
  </si>
  <si>
    <t>Levered Cash Flow (Combined)</t>
  </si>
  <si>
    <t>Returns Summary (Levered)</t>
  </si>
  <si>
    <t>Home Acquisition</t>
  </si>
  <si>
    <t>Acquisition Loan</t>
  </si>
  <si>
    <t>Entry Assumptions (Lots)</t>
  </si>
  <si>
    <t>Entry Cap-Rate</t>
  </si>
  <si>
    <t>Acquisition Financing</t>
  </si>
  <si>
    <t>Loan Term / Repayment</t>
  </si>
  <si>
    <t>Loan-to-Value</t>
  </si>
  <si>
    <t>Target Debt Service Coverage Ratio</t>
  </si>
  <si>
    <t>Max Loan-to-Value</t>
  </si>
  <si>
    <t>Lot Rent Growth (Thereafter)</t>
  </si>
  <si>
    <t>Lot Rent / Growth (Year 1)</t>
  </si>
  <si>
    <t>Lot Rent / Growth (Year 2)</t>
  </si>
  <si>
    <t>Operating Expense Ratios</t>
  </si>
  <si>
    <t>Sources &amp; Uses (Park Owned Homes)</t>
  </si>
  <si>
    <t>Potential Gross Revenue (Park Owned Homes)</t>
  </si>
  <si>
    <t>Effective Gross Revenue (Park Owned Homes)</t>
  </si>
  <si>
    <t>Operating Expenses (Park Owned Homes)</t>
  </si>
  <si>
    <t>Net Operating Income (Park Owned Homes)</t>
  </si>
  <si>
    <t>Unlevered Cash Flow (Park Owned Homes)</t>
  </si>
  <si>
    <t>Levered Cash Flow (Park Owned Homes)</t>
  </si>
  <si>
    <t>Exit Assumptions (Park Owned Homes)</t>
  </si>
  <si>
    <t>Additional Income ($ / Lot / Year)</t>
  </si>
  <si>
    <t>Additional Income Growth Rate</t>
  </si>
  <si>
    <t>Additional Income</t>
  </si>
  <si>
    <t>Lease-Up Assumptions</t>
  </si>
  <si>
    <t>In-Place Lots Leased</t>
  </si>
  <si>
    <t>Lots Leased / Year Thereafter</t>
  </si>
  <si>
    <t>Lots Leased at Acquisition</t>
  </si>
  <si>
    <t>Lots Leased Thereafter</t>
  </si>
  <si>
    <t>Total Active Lots</t>
  </si>
  <si>
    <t>Next Twelve Month(s) Net Operating Income</t>
  </si>
  <si>
    <t>Beginning of Period</t>
  </si>
  <si>
    <t>End of Period</t>
  </si>
  <si>
    <t>Thereafter</t>
  </si>
  <si>
    <t>WA Mobile Home Park Back of the Envelope</t>
  </si>
  <si>
    <t>Tacoma, WA</t>
  </si>
  <si>
    <t>Past Twelve Month(s) Net Operating Income</t>
  </si>
  <si>
    <t>Purchase Price (incl. capex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</si>
</sst>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#,##0;\(#,##0\);\-\-"/>
    <numFmt numFmtId="165" formatCode="&quot;$&quot;#,##0;\(&quot;$&quot;#,##0\);\-\-"/>
    <numFmt numFmtId="166" formatCode="#,##0.00%;\(#,##0.00%\);\-\-"/>
    <numFmt numFmtId="167" formatCode="#,##0.00&quot;x&quot;;\(#,##0.00&quot;x&quot;\);\-\-"/>
    <numFmt numFmtId="168" formatCode="[$-409]mmm\-yy;@"/>
    <numFmt numFmtId="169" formatCode="&quot;Month&quot;\ #;;&quot;Closing&quot;"/>
    <numFmt numFmtId="170" formatCode="&quot;Quarter&quot;\ #;;&quot;Closing&quot;"/>
    <numFmt numFmtId="171" formatCode="&quot;Year&quot;\ #;;&quot;Closing&quot;"/>
    <numFmt numFmtId="172" formatCode="&quot;$&quot;#,##0.00;\(&quot;$&quot;#,##0.00\);\-\-"/>
    <numFmt numFmtId="173" formatCode="&quot;Year&quot;\ #"/>
    <numFmt numFmtId="174" formatCode="#\ &quot;Years&quot;"/>
    <numFmt numFmtId="175" formatCode="#\ &quot;Year(s)&quot;;;&quot; --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1600F5"/>
      <name val="Arial"/>
      <family val="2"/>
    </font>
    <font>
      <b/>
      <sz val="10"/>
      <color theme="1"/>
      <name val="Arial"/>
      <family val="2"/>
    </font>
    <font>
      <b/>
      <sz val="10"/>
      <color rgb="FF1600F5"/>
      <name val="Arial"/>
      <family val="2"/>
    </font>
    <font>
      <i/>
      <sz val="8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10"/>
      <color rgb="FF008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BEDF5"/>
        <bgColor indexed="64"/>
      </patternFill>
    </fill>
    <fill>
      <patternFill patternType="solid">
        <fgColor rgb="FFD1F7B7"/>
        <bgColor indexed="64"/>
      </patternFill>
    </fill>
    <fill>
      <patternFill patternType="solid">
        <fgColor rgb="FFFBD5C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5" fillId="3" borderId="0" xfId="0" applyNumberFormat="1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168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5" fontId="4" fillId="0" borderId="6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73" fontId="4" fillId="0" borderId="1" xfId="0" applyNumberFormat="1" applyFont="1" applyBorder="1" applyAlignment="1">
      <alignment horizontal="left" vertical="center"/>
    </xf>
    <xf numFmtId="173" fontId="1" fillId="0" borderId="1" xfId="0" applyNumberFormat="1" applyFont="1" applyBorder="1" applyAlignment="1">
      <alignment horizontal="left" vertical="center"/>
    </xf>
    <xf numFmtId="0" fontId="5" fillId="5" borderId="6" xfId="0" applyFont="1" applyFill="1" applyBorder="1" applyAlignment="1">
      <alignment vertical="center"/>
    </xf>
    <xf numFmtId="166" fontId="4" fillId="0" borderId="6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72" fontId="1" fillId="0" borderId="9" xfId="0" applyNumberFormat="1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2" fillId="6" borderId="6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5" fontId="6" fillId="3" borderId="0" xfId="0" applyNumberFormat="1" applyFont="1" applyFill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164" fontId="5" fillId="4" borderId="7" xfId="0" applyNumberFormat="1" applyFont="1" applyFill="1" applyBorder="1" applyAlignment="1">
      <alignment vertical="center"/>
    </xf>
    <xf numFmtId="165" fontId="5" fillId="4" borderId="0" xfId="0" applyNumberFormat="1" applyFont="1" applyFill="1" applyAlignment="1">
      <alignment vertical="center"/>
    </xf>
    <xf numFmtId="174" fontId="4" fillId="0" borderId="7" xfId="0" applyNumberFormat="1" applyFont="1" applyBorder="1" applyAlignment="1">
      <alignment vertical="center"/>
    </xf>
    <xf numFmtId="174" fontId="1" fillId="0" borderId="7" xfId="0" applyNumberFormat="1" applyFont="1" applyBorder="1" applyAlignment="1">
      <alignment vertical="center"/>
    </xf>
    <xf numFmtId="168" fontId="1" fillId="0" borderId="7" xfId="0" applyNumberFormat="1" applyFont="1" applyBorder="1" applyAlignment="1">
      <alignment vertical="center"/>
    </xf>
    <xf numFmtId="171" fontId="6" fillId="5" borderId="3" xfId="0" applyNumberFormat="1" applyFont="1" applyFill="1" applyBorder="1" applyAlignment="1">
      <alignment vertical="center"/>
    </xf>
    <xf numFmtId="171" fontId="5" fillId="5" borderId="3" xfId="0" applyNumberFormat="1" applyFont="1" applyFill="1" applyBorder="1" applyAlignment="1">
      <alignment vertical="center"/>
    </xf>
    <xf numFmtId="170" fontId="6" fillId="5" borderId="0" xfId="0" applyNumberFormat="1" applyFont="1" applyFill="1" applyAlignment="1">
      <alignment vertical="center"/>
    </xf>
    <xf numFmtId="170" fontId="5" fillId="5" borderId="0" xfId="0" applyNumberFormat="1" applyFont="1" applyFill="1" applyAlignment="1">
      <alignment vertical="center"/>
    </xf>
    <xf numFmtId="169" fontId="6" fillId="5" borderId="0" xfId="0" applyNumberFormat="1" applyFont="1" applyFill="1" applyAlignment="1">
      <alignment vertical="center"/>
    </xf>
    <xf numFmtId="169" fontId="5" fillId="5" borderId="0" xfId="0" applyNumberFormat="1" applyFont="1" applyFill="1" applyAlignment="1">
      <alignment vertical="center"/>
    </xf>
    <xf numFmtId="0" fontId="5" fillId="5" borderId="5" xfId="0" applyFont="1" applyFill="1" applyBorder="1" applyAlignment="1">
      <alignment vertical="center"/>
    </xf>
    <xf numFmtId="168" fontId="5" fillId="5" borderId="5" xfId="0" applyNumberFormat="1" applyFont="1" applyFill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7" fontId="1" fillId="0" borderId="7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7" fontId="4" fillId="0" borderId="7" xfId="0" applyNumberFormat="1" applyFont="1" applyBorder="1" applyAlignment="1">
      <alignment vertical="center"/>
    </xf>
    <xf numFmtId="164" fontId="11" fillId="4" borderId="9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5" fillId="4" borderId="0" xfId="0" applyNumberFormat="1" applyFont="1" applyFill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167" fontId="9" fillId="0" borderId="5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vertical="center"/>
    </xf>
    <xf numFmtId="165" fontId="12" fillId="0" borderId="0" xfId="0" applyNumberFormat="1" applyFont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75" fontId="4" fillId="0" borderId="7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175" fontId="4" fillId="0" borderId="8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72" fontId="4" fillId="0" borderId="7" xfId="0" applyNumberFormat="1" applyFont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4" fontId="5" fillId="5" borderId="9" xfId="0" applyNumberFormat="1" applyFont="1" applyFill="1" applyBorder="1" applyAlignment="1">
      <alignment vertical="center"/>
    </xf>
    <xf numFmtId="7" fontId="1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E5C9-CD18-4CBF-9234-151BC208A66D}">
  <sheetPr>
    <pageSetUpPr fitToPage="1"/>
  </sheetPr>
  <dimension ref="B2:AR104"/>
  <sheetViews>
    <sheetView showGridLines="0" tabSelected="1" view="pageBreakPreview" zoomScaleNormal="100" zoomScaleSheetLayoutView="100" workbookViewId="0"/>
  </sheetViews>
  <sheetFormatPr defaultColWidth="9.140625" defaultRowHeight="12.75" x14ac:dyDescent="0.25"/>
  <cols>
    <col min="1" max="3" width="1.7109375" style="1" customWidth="1"/>
    <col min="4" max="4" width="10.7109375" style="1" customWidth="1"/>
    <col min="5" max="5" width="9.140625" style="1"/>
    <col min="6" max="8" width="12.7109375" style="1" customWidth="1"/>
    <col min="9" max="9" width="1.7109375" style="1" customWidth="1"/>
    <col min="10" max="10" width="10.7109375" style="1" customWidth="1"/>
    <col min="11" max="11" width="9.140625" style="1"/>
    <col min="12" max="14" width="12.7109375" style="1" customWidth="1"/>
    <col min="15" max="15" width="1.7109375" style="1" customWidth="1"/>
    <col min="16" max="16" width="10.7109375" style="1" customWidth="1"/>
    <col min="17" max="17" width="9.140625" style="1"/>
    <col min="18" max="20" width="12.7109375" style="1" customWidth="1"/>
    <col min="21" max="25" width="1.7109375" style="1" customWidth="1"/>
    <col min="26" max="26" width="25.7109375" style="1" customWidth="1"/>
    <col min="27" max="28" width="12.7109375" style="1" customWidth="1"/>
    <col min="29" max="29" width="15.7109375" style="1" customWidth="1"/>
    <col min="30" max="42" width="12.7109375" style="1" customWidth="1"/>
    <col min="43" max="44" width="1.7109375" style="1" customWidth="1"/>
    <col min="45" max="16384" width="9.140625" style="1"/>
  </cols>
  <sheetData>
    <row r="2" spans="2:44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0</v>
      </c>
      <c r="X2" s="2" t="s">
        <v>0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0</v>
      </c>
    </row>
    <row r="3" spans="2:44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X3" s="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</row>
    <row r="4" spans="2:44" x14ac:dyDescent="0.25">
      <c r="B4" s="2"/>
      <c r="C4" s="4" t="str">
        <f>Project_Name&amp;" - Transaction Overview"</f>
        <v>WA Mobile Home Park Back of the Envelope - Transaction Overview</v>
      </c>
      <c r="V4" s="2"/>
      <c r="X4" s="2"/>
      <c r="Y4" s="4" t="str">
        <f>Project_Name&amp;" - Transaction Overview"</f>
        <v>WA Mobile Home Park Back of the Envelope - Transaction Overview</v>
      </c>
      <c r="AR4" s="2"/>
    </row>
    <row r="5" spans="2:44" x14ac:dyDescent="0.25">
      <c r="B5" s="2"/>
      <c r="C5" s="5" t="s">
        <v>6</v>
      </c>
      <c r="V5" s="2"/>
      <c r="X5" s="2"/>
      <c r="Y5" s="5" t="s">
        <v>6</v>
      </c>
      <c r="AR5" s="2"/>
    </row>
    <row r="6" spans="2:44" x14ac:dyDescent="0.25">
      <c r="B6" s="2"/>
      <c r="V6" s="2"/>
      <c r="X6" s="2"/>
      <c r="AR6" s="2"/>
    </row>
    <row r="7" spans="2:44" x14ac:dyDescent="0.25">
      <c r="B7" s="2"/>
      <c r="D7" s="16" t="s">
        <v>1</v>
      </c>
      <c r="E7" s="17"/>
      <c r="F7" s="17"/>
      <c r="G7" s="17"/>
      <c r="H7" s="18"/>
      <c r="J7" s="16" t="s">
        <v>39</v>
      </c>
      <c r="K7" s="17"/>
      <c r="L7" s="17"/>
      <c r="M7" s="17"/>
      <c r="N7" s="18"/>
      <c r="P7" s="16" t="s">
        <v>41</v>
      </c>
      <c r="Q7" s="17"/>
      <c r="R7" s="17"/>
      <c r="S7" s="17"/>
      <c r="T7" s="18"/>
      <c r="V7" s="2"/>
      <c r="X7" s="2"/>
      <c r="Z7" s="34" t="s">
        <v>25</v>
      </c>
      <c r="AA7" s="34"/>
      <c r="AB7" s="34"/>
      <c r="AC7" s="34"/>
      <c r="AD7" s="34"/>
      <c r="AE7" s="68">
        <v>0</v>
      </c>
      <c r="AF7" s="69">
        <f>ROUNDUP(AF9/12,0)</f>
        <v>1</v>
      </c>
      <c r="AG7" s="69">
        <f t="shared" ref="AG7:AP7" si="0">ROUNDUP(AG9/12,0)</f>
        <v>2</v>
      </c>
      <c r="AH7" s="69">
        <f t="shared" si="0"/>
        <v>3</v>
      </c>
      <c r="AI7" s="69">
        <f t="shared" si="0"/>
        <v>4</v>
      </c>
      <c r="AJ7" s="69">
        <f t="shared" si="0"/>
        <v>5</v>
      </c>
      <c r="AK7" s="69">
        <f t="shared" si="0"/>
        <v>6</v>
      </c>
      <c r="AL7" s="69">
        <f t="shared" si="0"/>
        <v>7</v>
      </c>
      <c r="AM7" s="69">
        <f t="shared" si="0"/>
        <v>8</v>
      </c>
      <c r="AN7" s="69">
        <f t="shared" si="0"/>
        <v>9</v>
      </c>
      <c r="AO7" s="69">
        <f t="shared" si="0"/>
        <v>10</v>
      </c>
      <c r="AP7" s="69">
        <f t="shared" si="0"/>
        <v>11</v>
      </c>
      <c r="AR7" s="2"/>
    </row>
    <row r="8" spans="2:44" ht="15" x14ac:dyDescent="0.25">
      <c r="B8" s="2"/>
      <c r="D8" s="13" t="s">
        <v>2</v>
      </c>
      <c r="H8" s="28" t="s">
        <v>114</v>
      </c>
      <c r="J8" s="54" t="s">
        <v>60</v>
      </c>
      <c r="K8" s="2"/>
      <c r="L8" s="6" t="s">
        <v>14</v>
      </c>
      <c r="M8" s="6" t="s">
        <v>8</v>
      </c>
      <c r="N8" s="19" t="s">
        <v>7</v>
      </c>
      <c r="P8" s="13" t="s">
        <v>10</v>
      </c>
      <c r="T8" s="65">
        <v>5</v>
      </c>
      <c r="V8" s="2"/>
      <c r="X8" s="2"/>
      <c r="Z8" s="53" t="s">
        <v>26</v>
      </c>
      <c r="AA8" s="53"/>
      <c r="AB8" s="53"/>
      <c r="AC8" s="53"/>
      <c r="AD8" s="53"/>
      <c r="AE8" s="70">
        <v>0</v>
      </c>
      <c r="AF8" s="71">
        <f>ROUNDUP(AF9/3,0)</f>
        <v>4</v>
      </c>
      <c r="AG8" s="71">
        <f t="shared" ref="AG8:AP8" si="1">ROUNDUP(AG9/3,0)</f>
        <v>8</v>
      </c>
      <c r="AH8" s="71">
        <f t="shared" si="1"/>
        <v>12</v>
      </c>
      <c r="AI8" s="71">
        <f t="shared" si="1"/>
        <v>16</v>
      </c>
      <c r="AJ8" s="71">
        <f t="shared" si="1"/>
        <v>20</v>
      </c>
      <c r="AK8" s="71">
        <f t="shared" si="1"/>
        <v>24</v>
      </c>
      <c r="AL8" s="71">
        <f t="shared" si="1"/>
        <v>28</v>
      </c>
      <c r="AM8" s="71">
        <f t="shared" si="1"/>
        <v>32</v>
      </c>
      <c r="AN8" s="71">
        <f t="shared" si="1"/>
        <v>36</v>
      </c>
      <c r="AO8" s="71">
        <f t="shared" si="1"/>
        <v>40</v>
      </c>
      <c r="AP8" s="71">
        <f t="shared" si="1"/>
        <v>44</v>
      </c>
      <c r="AR8" s="2"/>
    </row>
    <row r="9" spans="2:44" x14ac:dyDescent="0.25">
      <c r="B9" s="2"/>
      <c r="D9" s="13" t="s">
        <v>3</v>
      </c>
      <c r="H9" s="29">
        <v>43678</v>
      </c>
      <c r="J9" s="13" t="s">
        <v>45</v>
      </c>
      <c r="L9" s="86">
        <f>N9/$N$13</f>
        <v>0.97451676190271985</v>
      </c>
      <c r="M9" s="7">
        <f t="shared" ref="M9:M10" si="2">N9/Lots</f>
        <v>67333.333333333328</v>
      </c>
      <c r="N9" s="20">
        <f>AC28</f>
        <v>1818000</v>
      </c>
      <c r="P9" s="13" t="s">
        <v>12</v>
      </c>
      <c r="T9" s="67">
        <f>EOMONTH(Start_Date,T8*12)</f>
        <v>45535</v>
      </c>
      <c r="V9" s="2"/>
      <c r="X9" s="2"/>
      <c r="Z9" s="53" t="s">
        <v>27</v>
      </c>
      <c r="AA9" s="53"/>
      <c r="AB9" s="53"/>
      <c r="AC9" s="53"/>
      <c r="AD9" s="53"/>
      <c r="AE9" s="72">
        <v>0</v>
      </c>
      <c r="AF9" s="73">
        <f>AE9+12</f>
        <v>12</v>
      </c>
      <c r="AG9" s="73">
        <f t="shared" ref="AG9:AP9" si="3">AF9+12</f>
        <v>24</v>
      </c>
      <c r="AH9" s="73">
        <f t="shared" si="3"/>
        <v>36</v>
      </c>
      <c r="AI9" s="73">
        <f t="shared" si="3"/>
        <v>48</v>
      </c>
      <c r="AJ9" s="73">
        <f t="shared" si="3"/>
        <v>60</v>
      </c>
      <c r="AK9" s="73">
        <f t="shared" si="3"/>
        <v>72</v>
      </c>
      <c r="AL9" s="73">
        <f t="shared" si="3"/>
        <v>84</v>
      </c>
      <c r="AM9" s="73">
        <f t="shared" si="3"/>
        <v>96</v>
      </c>
      <c r="AN9" s="73">
        <f t="shared" si="3"/>
        <v>108</v>
      </c>
      <c r="AO9" s="73">
        <f t="shared" si="3"/>
        <v>120</v>
      </c>
      <c r="AP9" s="73">
        <f t="shared" si="3"/>
        <v>132</v>
      </c>
      <c r="AR9" s="2"/>
    </row>
    <row r="10" spans="2:44" x14ac:dyDescent="0.25">
      <c r="B10" s="2"/>
      <c r="D10" s="13" t="s">
        <v>4</v>
      </c>
      <c r="H10" s="28" t="s">
        <v>115</v>
      </c>
      <c r="J10" s="13" t="s">
        <v>44</v>
      </c>
      <c r="L10" s="86">
        <f>N10/$N$13</f>
        <v>1.9490335238054397E-2</v>
      </c>
      <c r="M10" s="7">
        <f t="shared" si="2"/>
        <v>1346.6666666666667</v>
      </c>
      <c r="N10" s="20">
        <f>AC29</f>
        <v>36360</v>
      </c>
      <c r="P10" s="13" t="s">
        <v>116</v>
      </c>
      <c r="T10" s="20" cm="1">
        <f t="array" ref="T10">SUMPRODUCT(AE26:AP26,--(AE7:AP7=T8))</f>
        <v>163635.84870134635</v>
      </c>
      <c r="V10" s="2"/>
      <c r="X10" s="2"/>
      <c r="Z10" s="74" t="s">
        <v>28</v>
      </c>
      <c r="AA10" s="74"/>
      <c r="AB10" s="74"/>
      <c r="AC10" s="74"/>
      <c r="AD10" s="74"/>
      <c r="AE10" s="75">
        <f>Start_Date</f>
        <v>43678</v>
      </c>
      <c r="AF10" s="75">
        <f>EOMONTH(AE10,12)</f>
        <v>44074</v>
      </c>
      <c r="AG10" s="75">
        <f t="shared" ref="AG10:AP10" si="4">EOMONTH(AF10,12)</f>
        <v>44439</v>
      </c>
      <c r="AH10" s="75">
        <f t="shared" si="4"/>
        <v>44804</v>
      </c>
      <c r="AI10" s="75">
        <f t="shared" si="4"/>
        <v>45169</v>
      </c>
      <c r="AJ10" s="75">
        <f t="shared" si="4"/>
        <v>45535</v>
      </c>
      <c r="AK10" s="75">
        <f t="shared" si="4"/>
        <v>45900</v>
      </c>
      <c r="AL10" s="75">
        <f t="shared" si="4"/>
        <v>46265</v>
      </c>
      <c r="AM10" s="75">
        <f t="shared" si="4"/>
        <v>46630</v>
      </c>
      <c r="AN10" s="75">
        <f t="shared" si="4"/>
        <v>46996</v>
      </c>
      <c r="AO10" s="75">
        <f t="shared" si="4"/>
        <v>47361</v>
      </c>
      <c r="AP10" s="75">
        <f t="shared" si="4"/>
        <v>47726</v>
      </c>
      <c r="AR10" s="2"/>
    </row>
    <row r="11" spans="2:44" x14ac:dyDescent="0.25">
      <c r="B11" s="2"/>
      <c r="D11" s="26" t="s">
        <v>5</v>
      </c>
      <c r="E11" s="27"/>
      <c r="F11" s="27"/>
      <c r="G11" s="27"/>
      <c r="H11" s="30">
        <v>27</v>
      </c>
      <c r="J11" s="59" t="s">
        <v>61</v>
      </c>
      <c r="K11" s="58"/>
      <c r="L11" s="87">
        <f>N11/$N$13</f>
        <v>0.99400709714077429</v>
      </c>
      <c r="M11" s="64">
        <f>N11/Lots</f>
        <v>68680</v>
      </c>
      <c r="N11" s="63">
        <f>SUM(N9:N10)</f>
        <v>1854360</v>
      </c>
      <c r="P11" s="13" t="s">
        <v>13</v>
      </c>
      <c r="T11" s="35">
        <v>5.5E-2</v>
      </c>
      <c r="V11" s="2"/>
      <c r="X11" s="2"/>
      <c r="AR11" s="2"/>
    </row>
    <row r="12" spans="2:44" ht="15" x14ac:dyDescent="0.25">
      <c r="B12" s="2"/>
      <c r="J12" s="13" t="s">
        <v>9</v>
      </c>
      <c r="L12" s="86">
        <f>N12/$N$13</f>
        <v>5.9929028592257483E-3</v>
      </c>
      <c r="M12" s="7">
        <f>N12/Lots</f>
        <v>414.07407407407413</v>
      </c>
      <c r="N12" s="20">
        <f>AC63</f>
        <v>11180.000000000002</v>
      </c>
      <c r="P12" s="54"/>
      <c r="Q12" s="53"/>
      <c r="R12" s="6" t="s">
        <v>14</v>
      </c>
      <c r="S12" s="6" t="s">
        <v>8</v>
      </c>
      <c r="T12" s="19" t="s">
        <v>7</v>
      </c>
      <c r="V12" s="2"/>
      <c r="X12" s="2"/>
      <c r="Z12" s="25" t="s">
        <v>107</v>
      </c>
      <c r="AA12" s="25"/>
      <c r="AB12" s="25"/>
      <c r="AC12" s="25"/>
      <c r="AD12" s="25"/>
      <c r="AE12" s="41">
        <f t="shared" ref="AE12:AP12" si="5">$H$38*(AE10=Start_Date)</f>
        <v>26</v>
      </c>
      <c r="AF12" s="41">
        <f t="shared" si="5"/>
        <v>0</v>
      </c>
      <c r="AG12" s="41">
        <f t="shared" si="5"/>
        <v>0</v>
      </c>
      <c r="AH12" s="41">
        <f t="shared" si="5"/>
        <v>0</v>
      </c>
      <c r="AI12" s="41">
        <f t="shared" si="5"/>
        <v>0</v>
      </c>
      <c r="AJ12" s="41">
        <f t="shared" si="5"/>
        <v>0</v>
      </c>
      <c r="AK12" s="41">
        <f t="shared" si="5"/>
        <v>0</v>
      </c>
      <c r="AL12" s="41">
        <f t="shared" si="5"/>
        <v>0</v>
      </c>
      <c r="AM12" s="41">
        <f t="shared" si="5"/>
        <v>0</v>
      </c>
      <c r="AN12" s="41">
        <f t="shared" si="5"/>
        <v>0</v>
      </c>
      <c r="AO12" s="41">
        <f t="shared" si="5"/>
        <v>0</v>
      </c>
      <c r="AP12" s="41">
        <f t="shared" si="5"/>
        <v>0</v>
      </c>
      <c r="AR12" s="2"/>
    </row>
    <row r="13" spans="2:44" x14ac:dyDescent="0.25">
      <c r="B13" s="2"/>
      <c r="D13" s="16" t="s">
        <v>82</v>
      </c>
      <c r="E13" s="17"/>
      <c r="F13" s="17"/>
      <c r="G13" s="17"/>
      <c r="H13" s="18"/>
      <c r="J13" s="59" t="s">
        <v>62</v>
      </c>
      <c r="K13" s="58"/>
      <c r="L13" s="87">
        <f>N13/$N$13</f>
        <v>1</v>
      </c>
      <c r="M13" s="64">
        <f>SUM(M11:M12)</f>
        <v>69094.074074074073</v>
      </c>
      <c r="N13" s="63">
        <f>SUM(N11:N12)</f>
        <v>1865540</v>
      </c>
      <c r="P13" s="15" t="s">
        <v>15</v>
      </c>
      <c r="Q13" s="10"/>
      <c r="R13" s="10"/>
      <c r="S13" s="11">
        <f>T13/Lots</f>
        <v>110192.49070797733</v>
      </c>
      <c r="T13" s="23">
        <f>T10/T11</f>
        <v>2975197.2491153879</v>
      </c>
      <c r="V13" s="2"/>
      <c r="X13" s="2"/>
      <c r="Z13" s="25" t="s">
        <v>108</v>
      </c>
      <c r="AA13" s="25"/>
      <c r="AB13" s="25"/>
      <c r="AC13" s="25"/>
      <c r="AD13" s="25"/>
      <c r="AE13" s="41"/>
      <c r="AF13" s="41">
        <f t="shared" ref="AF13:AP13" si="6">MIN($H$39,Lots-AE14)</f>
        <v>1</v>
      </c>
      <c r="AG13" s="41">
        <f t="shared" si="6"/>
        <v>0</v>
      </c>
      <c r="AH13" s="41">
        <f t="shared" si="6"/>
        <v>0</v>
      </c>
      <c r="AI13" s="41">
        <f t="shared" si="6"/>
        <v>0</v>
      </c>
      <c r="AJ13" s="41">
        <f t="shared" si="6"/>
        <v>0</v>
      </c>
      <c r="AK13" s="41">
        <f t="shared" si="6"/>
        <v>0</v>
      </c>
      <c r="AL13" s="41">
        <f t="shared" si="6"/>
        <v>0</v>
      </c>
      <c r="AM13" s="41">
        <f t="shared" si="6"/>
        <v>0</v>
      </c>
      <c r="AN13" s="41">
        <f t="shared" si="6"/>
        <v>0</v>
      </c>
      <c r="AO13" s="41">
        <f t="shared" si="6"/>
        <v>0</v>
      </c>
      <c r="AP13" s="41">
        <f t="shared" si="6"/>
        <v>0</v>
      </c>
      <c r="AR13" s="2"/>
    </row>
    <row r="14" spans="2:44" ht="15" x14ac:dyDescent="0.25">
      <c r="B14" s="2"/>
      <c r="D14" s="13" t="s">
        <v>110</v>
      </c>
      <c r="H14" s="20">
        <f>AF26</f>
        <v>101669.94799723061</v>
      </c>
      <c r="J14" s="54" t="s">
        <v>63</v>
      </c>
      <c r="K14" s="2"/>
      <c r="L14" s="6" t="s">
        <v>14</v>
      </c>
      <c r="M14" s="6" t="s">
        <v>8</v>
      </c>
      <c r="N14" s="19" t="s">
        <v>7</v>
      </c>
      <c r="P14" s="13" t="s">
        <v>16</v>
      </c>
      <c r="R14" s="31">
        <v>2.5000000000000001E-2</v>
      </c>
      <c r="S14" s="7">
        <f>T14/Lots</f>
        <v>-2754.8122676994335</v>
      </c>
      <c r="T14" s="20">
        <f>T13*-1*R14</f>
        <v>-74379.931227884706</v>
      </c>
      <c r="V14" s="2"/>
      <c r="X14" s="2"/>
      <c r="Z14" s="111" t="s">
        <v>109</v>
      </c>
      <c r="AA14" s="111"/>
      <c r="AB14" s="111"/>
      <c r="AC14" s="111"/>
      <c r="AD14" s="111"/>
      <c r="AE14" s="112">
        <f>SUM($AE$12:AE12,$AE$13:AE13)</f>
        <v>26</v>
      </c>
      <c r="AF14" s="112">
        <f>SUM($AE$12:AF12,$AE$13:AF13)</f>
        <v>27</v>
      </c>
      <c r="AG14" s="112">
        <f>SUM($AE$12:AG12,$AE$13:AG13)</f>
        <v>27</v>
      </c>
      <c r="AH14" s="112">
        <f>SUM($AE$12:AH12,$AE$13:AH13)</f>
        <v>27</v>
      </c>
      <c r="AI14" s="112">
        <f>SUM($AE$12:AI12,$AE$13:AI13)</f>
        <v>27</v>
      </c>
      <c r="AJ14" s="112">
        <f>SUM($AE$12:AJ12,$AE$13:AJ13)</f>
        <v>27</v>
      </c>
      <c r="AK14" s="112">
        <f>SUM($AE$12:AK12,$AE$13:AK13)</f>
        <v>27</v>
      </c>
      <c r="AL14" s="112">
        <f>SUM($AE$12:AL12,$AE$13:AL13)</f>
        <v>27</v>
      </c>
      <c r="AM14" s="112">
        <f>SUM($AE$12:AM12,$AE$13:AM13)</f>
        <v>27</v>
      </c>
      <c r="AN14" s="112">
        <f>SUM($AE$12:AN12,$AE$13:AN13)</f>
        <v>27</v>
      </c>
      <c r="AO14" s="112">
        <f>SUM($AE$12:AO12,$AE$13:AO13)</f>
        <v>27</v>
      </c>
      <c r="AP14" s="112">
        <f>SUM($AE$12:AP12,$AE$13:AP13)</f>
        <v>27</v>
      </c>
      <c r="AR14" s="2"/>
    </row>
    <row r="15" spans="2:44" x14ac:dyDescent="0.25">
      <c r="B15" s="2"/>
      <c r="D15" s="13" t="s">
        <v>83</v>
      </c>
      <c r="H15" s="76">
        <f>H14/H17</f>
        <v>5.5924063804857323E-2</v>
      </c>
      <c r="J15" s="13" t="s">
        <v>64</v>
      </c>
      <c r="L15" s="86">
        <f>N15/$N$18</f>
        <v>0.40070971407742517</v>
      </c>
      <c r="M15" s="7">
        <f>N15/Lots</f>
        <v>27686.666666666657</v>
      </c>
      <c r="N15" s="20">
        <f>AC84</f>
        <v>747539.99999999977</v>
      </c>
      <c r="P15" s="55" t="s">
        <v>17</v>
      </c>
      <c r="Q15" s="56"/>
      <c r="R15" s="56"/>
      <c r="S15" s="62">
        <f>T15/Lots</f>
        <v>107437.6784402779</v>
      </c>
      <c r="T15" s="61">
        <f>SUM(T13:T14)</f>
        <v>2900817.3178875032</v>
      </c>
      <c r="V15" s="2"/>
      <c r="X15" s="2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R15" s="2"/>
    </row>
    <row r="16" spans="2:44" ht="15" x14ac:dyDescent="0.25">
      <c r="B16" s="2"/>
      <c r="D16" s="12"/>
      <c r="E16" s="2"/>
      <c r="F16" s="6" t="s">
        <v>14</v>
      </c>
      <c r="G16" s="6" t="s">
        <v>8</v>
      </c>
      <c r="H16" s="19" t="s">
        <v>7</v>
      </c>
      <c r="J16" s="13" t="s">
        <v>65</v>
      </c>
      <c r="L16" s="86">
        <f>N16/$N$18</f>
        <v>0.59929028592257483</v>
      </c>
      <c r="M16" s="7">
        <f>N16/Lots</f>
        <v>41407.407407407416</v>
      </c>
      <c r="N16" s="20">
        <f>AC66</f>
        <v>1118000.0000000002</v>
      </c>
      <c r="V16" s="2"/>
      <c r="X16" s="2"/>
      <c r="Z16" s="25" t="s">
        <v>29</v>
      </c>
      <c r="AA16" s="25"/>
      <c r="AB16" s="25"/>
      <c r="AC16" s="25"/>
      <c r="AD16" s="25"/>
      <c r="AE16" s="42">
        <f>$H$22</f>
        <v>555</v>
      </c>
      <c r="AF16" s="42">
        <f>AE16*(1+H23)</f>
        <v>601.0844474550745</v>
      </c>
      <c r="AG16" s="42">
        <f>AF16*(1+H24)</f>
        <v>650.99551886913912</v>
      </c>
      <c r="AH16" s="42">
        <f>AG16*(1+$H$25)</f>
        <v>705.0509581174523</v>
      </c>
      <c r="AI16" s="42">
        <f t="shared" ref="AI16:AP16" si="7">AH16*(1+$H$25)</f>
        <v>763.59489295081016</v>
      </c>
      <c r="AJ16" s="42">
        <f t="shared" si="7"/>
        <v>827.00002578171973</v>
      </c>
      <c r="AK16" s="42">
        <f t="shared" si="7"/>
        <v>895.6700063825898</v>
      </c>
      <c r="AL16" s="42">
        <f t="shared" si="7"/>
        <v>970.04200160101266</v>
      </c>
      <c r="AM16" s="42">
        <f t="shared" si="7"/>
        <v>1050.589478451458</v>
      </c>
      <c r="AN16" s="42">
        <f t="shared" si="7"/>
        <v>1137.8252183010982</v>
      </c>
      <c r="AO16" s="42">
        <f t="shared" si="7"/>
        <v>1232.3045813386759</v>
      </c>
      <c r="AP16" s="42">
        <f t="shared" si="7"/>
        <v>1334.6290421086755</v>
      </c>
      <c r="AR16" s="2"/>
    </row>
    <row r="17" spans="2:44" x14ac:dyDescent="0.25">
      <c r="B17" s="2"/>
      <c r="D17" s="14" t="s">
        <v>117</v>
      </c>
      <c r="E17" s="9"/>
      <c r="F17" s="9"/>
      <c r="G17" s="99">
        <f>H17/Lots</f>
        <v>67333.333333333328</v>
      </c>
      <c r="H17" s="95">
        <v>1818000</v>
      </c>
      <c r="J17" s="13" t="s">
        <v>66</v>
      </c>
      <c r="L17" s="86">
        <f>N17/$N$18</f>
        <v>0</v>
      </c>
      <c r="M17" s="7">
        <f>N17/Lots</f>
        <v>0</v>
      </c>
      <c r="N17" s="20">
        <f>N13-SUM(N15:N16)</f>
        <v>0</v>
      </c>
      <c r="P17" s="16" t="s">
        <v>100</v>
      </c>
      <c r="Q17" s="17"/>
      <c r="R17" s="17"/>
      <c r="S17" s="17"/>
      <c r="T17" s="18"/>
      <c r="V17" s="2"/>
      <c r="X17" s="2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R17" s="2"/>
    </row>
    <row r="18" spans="2:44" x14ac:dyDescent="0.25">
      <c r="B18" s="2"/>
      <c r="D18" s="13" t="s">
        <v>44</v>
      </c>
      <c r="F18" s="31">
        <v>0.02</v>
      </c>
      <c r="G18" s="100">
        <f>H18/Lots</f>
        <v>1346.6666666666667</v>
      </c>
      <c r="H18" s="20">
        <f>H17*F18</f>
        <v>36360</v>
      </c>
      <c r="J18" s="55" t="s">
        <v>67</v>
      </c>
      <c r="K18" s="56"/>
      <c r="L18" s="88">
        <f>N18/$N$18</f>
        <v>1</v>
      </c>
      <c r="M18" s="62">
        <f>N18/Lots</f>
        <v>69094.074074074073</v>
      </c>
      <c r="N18" s="61">
        <f>SUM(N15:N17)</f>
        <v>1865540</v>
      </c>
      <c r="P18" s="13" t="s">
        <v>10</v>
      </c>
      <c r="T18" s="66">
        <f>T8</f>
        <v>5</v>
      </c>
      <c r="V18" s="2"/>
      <c r="X18" s="2"/>
      <c r="Z18" s="43" t="s">
        <v>35</v>
      </c>
      <c r="AA18" s="43"/>
      <c r="AB18" s="43"/>
      <c r="AC18" s="43"/>
      <c r="AD18" s="43"/>
      <c r="AE18" s="44">
        <f>AE16*AE14*12*(AE7&gt;0)</f>
        <v>0</v>
      </c>
      <c r="AF18" s="44">
        <f t="shared" ref="AF18:AP18" si="8">AF16*AF14*12*(AF7&gt;0)</f>
        <v>194751.36097544414</v>
      </c>
      <c r="AG18" s="44">
        <f t="shared" si="8"/>
        <v>210922.54811360108</v>
      </c>
      <c r="AH18" s="44">
        <f t="shared" si="8"/>
        <v>228436.51043005456</v>
      </c>
      <c r="AI18" s="44">
        <f t="shared" si="8"/>
        <v>247404.7453160625</v>
      </c>
      <c r="AJ18" s="44">
        <f t="shared" si="8"/>
        <v>267948.00835327717</v>
      </c>
      <c r="AK18" s="44">
        <f t="shared" si="8"/>
        <v>290197.08206795913</v>
      </c>
      <c r="AL18" s="44">
        <f t="shared" si="8"/>
        <v>314293.60851872811</v>
      </c>
      <c r="AM18" s="44">
        <f t="shared" si="8"/>
        <v>340390.99101827241</v>
      </c>
      <c r="AN18" s="44">
        <f t="shared" si="8"/>
        <v>368655.37072955578</v>
      </c>
      <c r="AO18" s="44">
        <f t="shared" si="8"/>
        <v>399266.68435373099</v>
      </c>
      <c r="AP18" s="44">
        <f t="shared" si="8"/>
        <v>432419.80964321084</v>
      </c>
      <c r="AR18" s="2"/>
    </row>
    <row r="19" spans="2:44" x14ac:dyDescent="0.25">
      <c r="B19" s="2"/>
      <c r="D19" s="96" t="s">
        <v>43</v>
      </c>
      <c r="E19" s="97"/>
      <c r="F19" s="97"/>
      <c r="G19" s="101">
        <f>H19/Lots</f>
        <v>68680</v>
      </c>
      <c r="H19" s="98">
        <f>SUM(H17:H18)</f>
        <v>1854360</v>
      </c>
      <c r="P19" s="13" t="s">
        <v>12</v>
      </c>
      <c r="T19" s="67">
        <f>End_Date</f>
        <v>45535</v>
      </c>
      <c r="V19" s="2"/>
      <c r="X19" s="2"/>
      <c r="Z19" s="25" t="s">
        <v>30</v>
      </c>
      <c r="AA19" s="25"/>
      <c r="AB19" s="25"/>
      <c r="AC19" s="25"/>
      <c r="AD19" s="25"/>
      <c r="AE19" s="41">
        <f>AE18*-1*$H$33</f>
        <v>0</v>
      </c>
      <c r="AF19" s="41">
        <f t="shared" ref="AF19:AP19" si="9">AF18*-1*$H$33</f>
        <v>0</v>
      </c>
      <c r="AG19" s="41">
        <f t="shared" si="9"/>
        <v>0</v>
      </c>
      <c r="AH19" s="41">
        <f t="shared" si="9"/>
        <v>0</v>
      </c>
      <c r="AI19" s="41">
        <f t="shared" si="9"/>
        <v>0</v>
      </c>
      <c r="AJ19" s="41">
        <f t="shared" si="9"/>
        <v>0</v>
      </c>
      <c r="AK19" s="41">
        <f t="shared" si="9"/>
        <v>0</v>
      </c>
      <c r="AL19" s="41">
        <f t="shared" si="9"/>
        <v>0</v>
      </c>
      <c r="AM19" s="41">
        <f t="shared" si="9"/>
        <v>0</v>
      </c>
      <c r="AN19" s="41">
        <f t="shared" si="9"/>
        <v>0</v>
      </c>
      <c r="AO19" s="41">
        <f t="shared" si="9"/>
        <v>0</v>
      </c>
      <c r="AP19" s="41">
        <f t="shared" si="9"/>
        <v>0</v>
      </c>
      <c r="AR19" s="2"/>
    </row>
    <row r="20" spans="2:44" ht="15" x14ac:dyDescent="0.25">
      <c r="B20" s="2"/>
      <c r="D20" s="92"/>
      <c r="E20" s="92"/>
      <c r="F20" s="92"/>
      <c r="G20" s="94"/>
      <c r="H20" s="93"/>
      <c r="J20" s="16" t="s">
        <v>93</v>
      </c>
      <c r="K20" s="17"/>
      <c r="L20" s="17"/>
      <c r="M20" s="17"/>
      <c r="N20" s="18"/>
      <c r="P20" s="54"/>
      <c r="Q20" s="53"/>
      <c r="R20" s="6" t="s">
        <v>14</v>
      </c>
      <c r="S20" s="6" t="s">
        <v>46</v>
      </c>
      <c r="T20" s="19" t="s">
        <v>7</v>
      </c>
      <c r="V20" s="2"/>
      <c r="X20" s="2"/>
      <c r="Z20" s="25" t="s">
        <v>31</v>
      </c>
      <c r="AA20" s="25"/>
      <c r="AB20" s="25"/>
      <c r="AC20" s="25"/>
      <c r="AD20" s="25"/>
      <c r="AE20" s="41">
        <f>AE18*-1*$H$34</f>
        <v>0</v>
      </c>
      <c r="AF20" s="41">
        <f t="shared" ref="AF20:AP20" si="10">AF18*-1*$H$34</f>
        <v>-2921.2704146316619</v>
      </c>
      <c r="AG20" s="41">
        <f t="shared" si="10"/>
        <v>-3163.8382217040162</v>
      </c>
      <c r="AH20" s="41">
        <f t="shared" si="10"/>
        <v>-3426.5476564508185</v>
      </c>
      <c r="AI20" s="41">
        <f t="shared" si="10"/>
        <v>-3711.0711797409372</v>
      </c>
      <c r="AJ20" s="41">
        <f t="shared" si="10"/>
        <v>-4019.2201252991572</v>
      </c>
      <c r="AK20" s="41">
        <f t="shared" si="10"/>
        <v>-4352.9562310193869</v>
      </c>
      <c r="AL20" s="41">
        <f t="shared" si="10"/>
        <v>-4714.404127780922</v>
      </c>
      <c r="AM20" s="41">
        <f t="shared" si="10"/>
        <v>-5105.8648652740858</v>
      </c>
      <c r="AN20" s="41">
        <f t="shared" si="10"/>
        <v>-5529.8305609433364</v>
      </c>
      <c r="AO20" s="41">
        <f t="shared" si="10"/>
        <v>-5989.0002653059646</v>
      </c>
      <c r="AP20" s="41">
        <f t="shared" si="10"/>
        <v>-6486.2971446481624</v>
      </c>
      <c r="AR20" s="2"/>
    </row>
    <row r="21" spans="2:44" ht="15" x14ac:dyDescent="0.25">
      <c r="B21" s="2"/>
      <c r="D21" s="16" t="s">
        <v>11</v>
      </c>
      <c r="E21" s="17"/>
      <c r="F21" s="17"/>
      <c r="G21" s="17"/>
      <c r="H21" s="18"/>
      <c r="J21" s="54" t="s">
        <v>60</v>
      </c>
      <c r="K21" s="2"/>
      <c r="L21" s="6" t="s">
        <v>14</v>
      </c>
      <c r="M21" s="6" t="s">
        <v>46</v>
      </c>
      <c r="N21" s="19" t="s">
        <v>7</v>
      </c>
      <c r="P21" s="15" t="s">
        <v>15</v>
      </c>
      <c r="Q21" s="10"/>
      <c r="R21" s="10"/>
      <c r="S21" s="60">
        <v>0</v>
      </c>
      <c r="T21" s="23">
        <f>S21*$G$42</f>
        <v>0</v>
      </c>
      <c r="V21" s="2"/>
      <c r="X21" s="2"/>
      <c r="Z21" s="1" t="s">
        <v>103</v>
      </c>
      <c r="AE21" s="8">
        <f>$H$35*(1+$H$36)^AE7*AE14*(AE7&gt;0)</f>
        <v>0</v>
      </c>
      <c r="AF21" s="8">
        <f t="shared" ref="AF21:AP21" si="11">$H$35*(1+$H$36)^AF7*AF14*(AF7&gt;0)</f>
        <v>0</v>
      </c>
      <c r="AG21" s="8">
        <f t="shared" si="11"/>
        <v>0</v>
      </c>
      <c r="AH21" s="8">
        <f t="shared" si="11"/>
        <v>0</v>
      </c>
      <c r="AI21" s="8">
        <f t="shared" si="11"/>
        <v>0</v>
      </c>
      <c r="AJ21" s="8">
        <f t="shared" si="11"/>
        <v>0</v>
      </c>
      <c r="AK21" s="8">
        <f t="shared" si="11"/>
        <v>0</v>
      </c>
      <c r="AL21" s="8">
        <f t="shared" si="11"/>
        <v>0</v>
      </c>
      <c r="AM21" s="8">
        <f t="shared" si="11"/>
        <v>0</v>
      </c>
      <c r="AN21" s="8">
        <f t="shared" si="11"/>
        <v>0</v>
      </c>
      <c r="AO21" s="8">
        <f t="shared" si="11"/>
        <v>0</v>
      </c>
      <c r="AP21" s="8">
        <f t="shared" si="11"/>
        <v>0</v>
      </c>
      <c r="AR21" s="2"/>
    </row>
    <row r="22" spans="2:44" x14ac:dyDescent="0.25">
      <c r="B22" s="2"/>
      <c r="D22" s="13" t="s">
        <v>29</v>
      </c>
      <c r="H22" s="110">
        <v>555</v>
      </c>
      <c r="J22" s="13" t="s">
        <v>80</v>
      </c>
      <c r="L22" s="86">
        <f>N22/$N$24</f>
        <v>1</v>
      </c>
      <c r="M22" s="7">
        <f>N22/$G$42</f>
        <v>1</v>
      </c>
      <c r="N22" s="20">
        <f>AC48</f>
        <v>0.27</v>
      </c>
      <c r="P22" s="13" t="s">
        <v>16</v>
      </c>
      <c r="R22" s="31">
        <v>0</v>
      </c>
      <c r="S22" s="7">
        <f>T22/$G$42</f>
        <v>0</v>
      </c>
      <c r="T22" s="20">
        <f>T21*-1*R22</f>
        <v>0</v>
      </c>
      <c r="V22" s="2"/>
      <c r="X22" s="2"/>
      <c r="Z22" s="43" t="s">
        <v>36</v>
      </c>
      <c r="AA22" s="43"/>
      <c r="AB22" s="43"/>
      <c r="AC22" s="43"/>
      <c r="AD22" s="43"/>
      <c r="AE22" s="44">
        <f>SUM(AE18:AE21)</f>
        <v>0</v>
      </c>
      <c r="AF22" s="44">
        <f t="shared" ref="AF22:AP22" si="12">SUM(AF18:AF21)</f>
        <v>191830.09056081247</v>
      </c>
      <c r="AG22" s="44">
        <f t="shared" si="12"/>
        <v>207758.70989189707</v>
      </c>
      <c r="AH22" s="44">
        <f t="shared" si="12"/>
        <v>225009.96277360374</v>
      </c>
      <c r="AI22" s="44">
        <f t="shared" si="12"/>
        <v>243693.67413632156</v>
      </c>
      <c r="AJ22" s="44">
        <f t="shared" si="12"/>
        <v>263928.78822797799</v>
      </c>
      <c r="AK22" s="44">
        <f t="shared" si="12"/>
        <v>285844.12583693973</v>
      </c>
      <c r="AL22" s="44">
        <f t="shared" si="12"/>
        <v>309579.20439094718</v>
      </c>
      <c r="AM22" s="44">
        <f t="shared" si="12"/>
        <v>335285.1261529983</v>
      </c>
      <c r="AN22" s="44">
        <f t="shared" si="12"/>
        <v>363125.54016861244</v>
      </c>
      <c r="AO22" s="44">
        <f t="shared" si="12"/>
        <v>393277.68408842501</v>
      </c>
      <c r="AP22" s="44">
        <f t="shared" si="12"/>
        <v>425933.51249856269</v>
      </c>
      <c r="AR22" s="2"/>
    </row>
    <row r="23" spans="2:44" x14ac:dyDescent="0.25">
      <c r="B23" s="2"/>
      <c r="D23" s="13" t="s">
        <v>90</v>
      </c>
      <c r="G23" s="113">
        <f>H22*(1+H23)</f>
        <v>601.0844474550745</v>
      </c>
      <c r="H23" s="35">
        <f>H25</f>
        <v>8.3035040459593715E-2</v>
      </c>
      <c r="J23" s="13" t="s">
        <v>44</v>
      </c>
      <c r="L23" s="86">
        <f>N23/$N$24</f>
        <v>0</v>
      </c>
      <c r="M23" s="7">
        <f>N23/$G$42</f>
        <v>0</v>
      </c>
      <c r="N23" s="20">
        <f>AC49</f>
        <v>0</v>
      </c>
      <c r="P23" s="55" t="s">
        <v>17</v>
      </c>
      <c r="Q23" s="56"/>
      <c r="R23" s="56"/>
      <c r="S23" s="62">
        <f>T23/$G$42</f>
        <v>0</v>
      </c>
      <c r="T23" s="61">
        <f>SUM(T21:T22)</f>
        <v>0</v>
      </c>
      <c r="V23" s="2"/>
      <c r="X23" s="2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R23" s="2"/>
    </row>
    <row r="24" spans="2:44" x14ac:dyDescent="0.25">
      <c r="B24" s="2"/>
      <c r="D24" s="13" t="s">
        <v>91</v>
      </c>
      <c r="G24" s="113">
        <f>G23*(1+H24)</f>
        <v>650.99551886913912</v>
      </c>
      <c r="H24" s="35">
        <f>H25</f>
        <v>8.3035040459593715E-2</v>
      </c>
      <c r="J24" s="59" t="s">
        <v>62</v>
      </c>
      <c r="K24" s="58"/>
      <c r="L24" s="87">
        <f>N24/$N$24</f>
        <v>1</v>
      </c>
      <c r="M24" s="64">
        <f>SUM(M22:M23)</f>
        <v>1</v>
      </c>
      <c r="N24" s="63">
        <f>SUM(N22:N23)</f>
        <v>0.27</v>
      </c>
      <c r="V24" s="2"/>
      <c r="X24" s="2"/>
      <c r="Z24" s="47" t="s">
        <v>37</v>
      </c>
      <c r="AA24" s="47"/>
      <c r="AB24" s="47"/>
      <c r="AC24" s="47"/>
      <c r="AD24" s="47"/>
      <c r="AE24" s="48">
        <f t="shared" ref="AE24:AP24" si="13">IFERROR(INDEX($D$27:$H$31,MATCH(AE7,$D$27:$D$31,0),5),$H$32)*-1*AE22</f>
        <v>0</v>
      </c>
      <c r="AF24" s="48">
        <f t="shared" si="13"/>
        <v>-90160.14256358186</v>
      </c>
      <c r="AG24" s="48">
        <f t="shared" si="13"/>
        <v>-93491.419451353679</v>
      </c>
      <c r="AH24" s="48">
        <f t="shared" si="13"/>
        <v>-95629.234178781582</v>
      </c>
      <c r="AI24" s="48">
        <f t="shared" si="13"/>
        <v>-95040.532913165414</v>
      </c>
      <c r="AJ24" s="48">
        <f t="shared" si="13"/>
        <v>-100292.93952663164</v>
      </c>
      <c r="AK24" s="48">
        <f t="shared" si="13"/>
        <v>-105762.32655966769</v>
      </c>
      <c r="AL24" s="48">
        <f t="shared" si="13"/>
        <v>-114544.30562465046</v>
      </c>
      <c r="AM24" s="48">
        <f t="shared" si="13"/>
        <v>-124055.49667660937</v>
      </c>
      <c r="AN24" s="48">
        <f t="shared" si="13"/>
        <v>-134356.44986238659</v>
      </c>
      <c r="AO24" s="48">
        <f t="shared" si="13"/>
        <v>-145512.74311271726</v>
      </c>
      <c r="AP24" s="48">
        <f t="shared" si="13"/>
        <v>-157595.39962446821</v>
      </c>
      <c r="AR24" s="2"/>
    </row>
    <row r="25" spans="2:44" ht="15" x14ac:dyDescent="0.25">
      <c r="B25" s="2"/>
      <c r="D25" s="26" t="s">
        <v>89</v>
      </c>
      <c r="E25" s="27"/>
      <c r="F25" s="27"/>
      <c r="G25" s="27"/>
      <c r="H25" s="33">
        <v>8.3035040459593715E-2</v>
      </c>
      <c r="J25" s="54" t="s">
        <v>63</v>
      </c>
      <c r="K25" s="2"/>
      <c r="L25" s="6" t="s">
        <v>14</v>
      </c>
      <c r="M25" s="6" t="s">
        <v>46</v>
      </c>
      <c r="N25" s="19" t="s">
        <v>7</v>
      </c>
      <c r="P25" s="16" t="s">
        <v>18</v>
      </c>
      <c r="Q25" s="17"/>
      <c r="R25" s="17"/>
      <c r="S25" s="17"/>
      <c r="T25" s="18"/>
      <c r="V25" s="2"/>
      <c r="X25" s="2"/>
      <c r="AR25" s="2"/>
    </row>
    <row r="26" spans="2:44" x14ac:dyDescent="0.25">
      <c r="B26" s="2"/>
      <c r="D26" s="36" t="s">
        <v>92</v>
      </c>
      <c r="E26" s="34"/>
      <c r="F26" s="34"/>
      <c r="G26" s="34"/>
      <c r="H26" s="39"/>
      <c r="J26" s="13" t="s">
        <v>64</v>
      </c>
      <c r="L26" s="86">
        <f>N26/$N$29</f>
        <v>1</v>
      </c>
      <c r="M26" s="7">
        <f>N26/$G$42</f>
        <v>1</v>
      </c>
      <c r="N26" s="20">
        <f>AC95</f>
        <v>0.27</v>
      </c>
      <c r="P26" s="54" t="s">
        <v>81</v>
      </c>
      <c r="Q26" s="53"/>
      <c r="R26" s="53"/>
      <c r="S26" s="53"/>
      <c r="T26" s="57"/>
      <c r="V26" s="2"/>
      <c r="X26" s="2"/>
      <c r="Z26" s="49" t="s">
        <v>32</v>
      </c>
      <c r="AA26" s="49"/>
      <c r="AB26" s="49"/>
      <c r="AC26" s="49"/>
      <c r="AD26" s="49"/>
      <c r="AE26" s="50">
        <f>AE24+AE22</f>
        <v>0</v>
      </c>
      <c r="AF26" s="50">
        <f t="shared" ref="AF26:AH26" si="14">AF24+AF22</f>
        <v>101669.94799723061</v>
      </c>
      <c r="AG26" s="50">
        <f t="shared" si="14"/>
        <v>114267.29044054339</v>
      </c>
      <c r="AH26" s="50">
        <f t="shared" si="14"/>
        <v>129380.72859482215</v>
      </c>
      <c r="AI26" s="50">
        <f t="shared" ref="AI26:AJ26" si="15">AI24+AI22</f>
        <v>148653.14122315613</v>
      </c>
      <c r="AJ26" s="50">
        <f t="shared" si="15"/>
        <v>163635.84870134635</v>
      </c>
      <c r="AK26" s="50">
        <f t="shared" ref="AK26:AP26" si="16">AK24+AK22</f>
        <v>180081.79927727202</v>
      </c>
      <c r="AL26" s="50">
        <f t="shared" si="16"/>
        <v>195034.89876629674</v>
      </c>
      <c r="AM26" s="50">
        <f t="shared" si="16"/>
        <v>211229.62947638892</v>
      </c>
      <c r="AN26" s="50">
        <f t="shared" si="16"/>
        <v>228769.09030622584</v>
      </c>
      <c r="AO26" s="50">
        <f t="shared" si="16"/>
        <v>247764.94097570775</v>
      </c>
      <c r="AP26" s="50">
        <f t="shared" si="16"/>
        <v>268338.11287409451</v>
      </c>
      <c r="AR26" s="2"/>
    </row>
    <row r="27" spans="2:44" x14ac:dyDescent="0.25">
      <c r="B27" s="2"/>
      <c r="D27" s="37">
        <v>1</v>
      </c>
      <c r="H27" s="35">
        <v>0.47</v>
      </c>
      <c r="J27" s="13" t="s">
        <v>65</v>
      </c>
      <c r="L27" s="86">
        <f>N27/$N$29</f>
        <v>0</v>
      </c>
      <c r="M27" s="7">
        <f>N27/$G$42</f>
        <v>0</v>
      </c>
      <c r="N27" s="20">
        <f>AC88</f>
        <v>0</v>
      </c>
      <c r="P27" s="13" t="s">
        <v>19</v>
      </c>
      <c r="T27" s="35">
        <v>4.4999999999999998E-2</v>
      </c>
      <c r="V27" s="2"/>
      <c r="X27" s="2"/>
      <c r="AR27" s="2"/>
    </row>
    <row r="28" spans="2:44" x14ac:dyDescent="0.25">
      <c r="B28" s="2"/>
      <c r="D28" s="38">
        <f>D27+1</f>
        <v>2</v>
      </c>
      <c r="H28" s="35">
        <v>0.45</v>
      </c>
      <c r="J28" s="13" t="s">
        <v>66</v>
      </c>
      <c r="L28" s="86">
        <f>N28/$N$29</f>
        <v>0</v>
      </c>
      <c r="M28" s="7">
        <f>N28/$G$42</f>
        <v>0</v>
      </c>
      <c r="N28" s="20">
        <f>N24-SUM(N26:N27)</f>
        <v>0</v>
      </c>
      <c r="P28" s="13" t="s">
        <v>86</v>
      </c>
      <c r="T28" s="35">
        <v>0.61496149614961504</v>
      </c>
      <c r="V28" s="2"/>
      <c r="X28" s="2"/>
      <c r="Z28" s="25" t="s">
        <v>45</v>
      </c>
      <c r="AA28" s="25"/>
      <c r="AB28" s="25"/>
      <c r="AC28" s="81">
        <f>SUM(AE28:AP28)*-1</f>
        <v>1818000</v>
      </c>
      <c r="AD28" s="25"/>
      <c r="AE28" s="41">
        <f t="shared" ref="AE28:AP28" si="17">-$H17*(AE$10=Start_Date)</f>
        <v>-1818000</v>
      </c>
      <c r="AF28" s="41">
        <f t="shared" si="17"/>
        <v>0</v>
      </c>
      <c r="AG28" s="41">
        <f t="shared" si="17"/>
        <v>0</v>
      </c>
      <c r="AH28" s="41">
        <f t="shared" si="17"/>
        <v>0</v>
      </c>
      <c r="AI28" s="41">
        <f t="shared" si="17"/>
        <v>0</v>
      </c>
      <c r="AJ28" s="41">
        <f t="shared" si="17"/>
        <v>0</v>
      </c>
      <c r="AK28" s="41">
        <f t="shared" si="17"/>
        <v>0</v>
      </c>
      <c r="AL28" s="41">
        <f t="shared" si="17"/>
        <v>0</v>
      </c>
      <c r="AM28" s="41">
        <f t="shared" si="17"/>
        <v>0</v>
      </c>
      <c r="AN28" s="41">
        <f t="shared" si="17"/>
        <v>0</v>
      </c>
      <c r="AO28" s="41">
        <f t="shared" si="17"/>
        <v>0</v>
      </c>
      <c r="AP28" s="41">
        <f t="shared" si="17"/>
        <v>0</v>
      </c>
      <c r="AR28" s="2"/>
    </row>
    <row r="29" spans="2:44" x14ac:dyDescent="0.25">
      <c r="B29" s="2"/>
      <c r="D29" s="38">
        <f t="shared" ref="D29:D31" si="18">D28+1</f>
        <v>3</v>
      </c>
      <c r="H29" s="35">
        <v>0.42499999999999999</v>
      </c>
      <c r="J29" s="55" t="s">
        <v>67</v>
      </c>
      <c r="K29" s="56"/>
      <c r="L29" s="88">
        <f>N29/$N$29</f>
        <v>1</v>
      </c>
      <c r="M29" s="62">
        <f>N29/$G$42</f>
        <v>1</v>
      </c>
      <c r="N29" s="61">
        <f>SUM(N26:N28)</f>
        <v>0.27</v>
      </c>
      <c r="P29" s="13" t="s">
        <v>20</v>
      </c>
      <c r="T29" s="20">
        <f>T28*H17</f>
        <v>1118000.0000000002</v>
      </c>
      <c r="V29" s="2"/>
      <c r="X29" s="2"/>
      <c r="Z29" s="25" t="s">
        <v>44</v>
      </c>
      <c r="AA29" s="25"/>
      <c r="AB29" s="25"/>
      <c r="AC29" s="81">
        <f>SUM(AE29:AP29)*-1</f>
        <v>36360</v>
      </c>
      <c r="AD29" s="25"/>
      <c r="AE29" s="41">
        <f t="shared" ref="AE29:AP29" si="19">-$H18*(AE$10=Start_Date)</f>
        <v>-36360</v>
      </c>
      <c r="AF29" s="41">
        <f t="shared" si="19"/>
        <v>0</v>
      </c>
      <c r="AG29" s="41">
        <f t="shared" si="19"/>
        <v>0</v>
      </c>
      <c r="AH29" s="41">
        <f t="shared" si="19"/>
        <v>0</v>
      </c>
      <c r="AI29" s="41">
        <f t="shared" si="19"/>
        <v>0</v>
      </c>
      <c r="AJ29" s="41">
        <f t="shared" si="19"/>
        <v>0</v>
      </c>
      <c r="AK29" s="41">
        <f t="shared" si="19"/>
        <v>0</v>
      </c>
      <c r="AL29" s="41">
        <f t="shared" si="19"/>
        <v>0</v>
      </c>
      <c r="AM29" s="41">
        <f t="shared" si="19"/>
        <v>0</v>
      </c>
      <c r="AN29" s="41">
        <f t="shared" si="19"/>
        <v>0</v>
      </c>
      <c r="AO29" s="41">
        <f t="shared" si="19"/>
        <v>0</v>
      </c>
      <c r="AP29" s="41">
        <f t="shared" si="19"/>
        <v>0</v>
      </c>
      <c r="AR29" s="2"/>
    </row>
    <row r="30" spans="2:44" x14ac:dyDescent="0.25">
      <c r="B30" s="2"/>
      <c r="D30" s="38">
        <f t="shared" si="18"/>
        <v>4</v>
      </c>
      <c r="H30" s="35">
        <v>0.39</v>
      </c>
      <c r="P30" s="13" t="s">
        <v>76</v>
      </c>
      <c r="T30" s="106">
        <v>30</v>
      </c>
      <c r="V30" s="2"/>
      <c r="X30" s="2"/>
      <c r="Z30" s="25" t="s">
        <v>15</v>
      </c>
      <c r="AA30" s="25"/>
      <c r="AB30" s="25"/>
      <c r="AC30" s="25"/>
      <c r="AD30" s="25"/>
      <c r="AE30" s="41">
        <f t="shared" ref="AE30:AP30" si="20">$T$13*(AE10=End_Date)</f>
        <v>0</v>
      </c>
      <c r="AF30" s="41">
        <f t="shared" si="20"/>
        <v>0</v>
      </c>
      <c r="AG30" s="41">
        <f t="shared" si="20"/>
        <v>0</v>
      </c>
      <c r="AH30" s="41">
        <f t="shared" si="20"/>
        <v>0</v>
      </c>
      <c r="AI30" s="41">
        <f t="shared" si="20"/>
        <v>0</v>
      </c>
      <c r="AJ30" s="41">
        <f t="shared" si="20"/>
        <v>2975197.2491153879</v>
      </c>
      <c r="AK30" s="41">
        <f t="shared" si="20"/>
        <v>0</v>
      </c>
      <c r="AL30" s="41">
        <f t="shared" si="20"/>
        <v>0</v>
      </c>
      <c r="AM30" s="41">
        <f t="shared" si="20"/>
        <v>0</v>
      </c>
      <c r="AN30" s="41">
        <f t="shared" si="20"/>
        <v>0</v>
      </c>
      <c r="AO30" s="41">
        <f t="shared" si="20"/>
        <v>0</v>
      </c>
      <c r="AP30" s="41">
        <f t="shared" si="20"/>
        <v>0</v>
      </c>
      <c r="AR30" s="2"/>
    </row>
    <row r="31" spans="2:44" x14ac:dyDescent="0.25">
      <c r="B31" s="2"/>
      <c r="D31" s="38">
        <f t="shared" si="18"/>
        <v>5</v>
      </c>
      <c r="H31" s="35">
        <v>0.38</v>
      </c>
      <c r="J31" s="16" t="s">
        <v>68</v>
      </c>
      <c r="K31" s="17"/>
      <c r="L31" s="17"/>
      <c r="M31" s="17"/>
      <c r="N31" s="18"/>
      <c r="P31" s="13" t="s">
        <v>85</v>
      </c>
      <c r="T31" s="106">
        <v>5</v>
      </c>
      <c r="V31" s="2"/>
      <c r="X31" s="2"/>
      <c r="Z31" s="25" t="s">
        <v>16</v>
      </c>
      <c r="AA31" s="25"/>
      <c r="AB31" s="25"/>
      <c r="AC31" s="25"/>
      <c r="AD31" s="25"/>
      <c r="AE31" s="41">
        <f>AE30*-$R$14</f>
        <v>0</v>
      </c>
      <c r="AF31" s="41">
        <f t="shared" ref="AF31:AP31" si="21">AF30*-$R$14</f>
        <v>0</v>
      </c>
      <c r="AG31" s="41">
        <f t="shared" si="21"/>
        <v>0</v>
      </c>
      <c r="AH31" s="41">
        <f t="shared" si="21"/>
        <v>0</v>
      </c>
      <c r="AI31" s="41">
        <f t="shared" si="21"/>
        <v>0</v>
      </c>
      <c r="AJ31" s="41">
        <f t="shared" si="21"/>
        <v>-74379.931227884706</v>
      </c>
      <c r="AK31" s="41">
        <f t="shared" si="21"/>
        <v>0</v>
      </c>
      <c r="AL31" s="41">
        <f t="shared" si="21"/>
        <v>0</v>
      </c>
      <c r="AM31" s="41">
        <f t="shared" si="21"/>
        <v>0</v>
      </c>
      <c r="AN31" s="41">
        <f t="shared" si="21"/>
        <v>0</v>
      </c>
      <c r="AO31" s="41">
        <f t="shared" si="21"/>
        <v>0</v>
      </c>
      <c r="AP31" s="41">
        <f t="shared" si="21"/>
        <v>0</v>
      </c>
      <c r="AR31" s="2"/>
    </row>
    <row r="32" spans="2:44" ht="15" x14ac:dyDescent="0.25">
      <c r="B32" s="2"/>
      <c r="D32" s="13" t="s">
        <v>113</v>
      </c>
      <c r="H32" s="35">
        <v>0.37</v>
      </c>
      <c r="J32" s="54" t="s">
        <v>71</v>
      </c>
      <c r="K32" s="2"/>
      <c r="L32" s="6" t="s">
        <v>54</v>
      </c>
      <c r="M32" s="6" t="s">
        <v>55</v>
      </c>
      <c r="N32" s="19" t="s">
        <v>56</v>
      </c>
      <c r="P32" s="13" t="s">
        <v>22</v>
      </c>
      <c r="S32" s="107">
        <f>Start_Date</f>
        <v>43678</v>
      </c>
      <c r="T32" s="67">
        <f>EOMONTH(S32,T31*12)</f>
        <v>45535</v>
      </c>
      <c r="V32" s="2"/>
      <c r="X32" s="2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R32" s="2"/>
    </row>
    <row r="33" spans="2:44" x14ac:dyDescent="0.25">
      <c r="B33" s="2"/>
      <c r="D33" s="24" t="s">
        <v>30</v>
      </c>
      <c r="E33" s="22"/>
      <c r="F33" s="22"/>
      <c r="G33" s="22"/>
      <c r="H33" s="40">
        <v>0</v>
      </c>
      <c r="J33" s="13" t="s">
        <v>69</v>
      </c>
      <c r="L33" s="102">
        <f t="array" ref="L33:N33">TRANSPOSE(AA58:AA60)</f>
        <v>0.1519211501369131</v>
      </c>
      <c r="M33" s="103">
        <v>1.9189498079756095</v>
      </c>
      <c r="N33" s="79">
        <v>1704064.0048446015</v>
      </c>
      <c r="P33" s="13" t="s">
        <v>9</v>
      </c>
      <c r="S33" s="31">
        <v>0.01</v>
      </c>
      <c r="T33" s="20">
        <f>S33*T29</f>
        <v>11180.000000000002</v>
      </c>
      <c r="V33" s="2"/>
      <c r="X33" s="2"/>
      <c r="Z33" s="49" t="s">
        <v>49</v>
      </c>
      <c r="AA33" s="49"/>
      <c r="AB33" s="49"/>
      <c r="AC33" s="49"/>
      <c r="AD33" s="49"/>
      <c r="AE33" s="50">
        <f t="shared" ref="AE33:AP33" si="22">SUM(AE30:AE31,AE28:AE29,AE26)*(AE10&lt;=End_Date)</f>
        <v>-1854360</v>
      </c>
      <c r="AF33" s="50">
        <f t="shared" si="22"/>
        <v>101669.94799723061</v>
      </c>
      <c r="AG33" s="50">
        <f t="shared" si="22"/>
        <v>114267.29044054339</v>
      </c>
      <c r="AH33" s="50">
        <f t="shared" si="22"/>
        <v>129380.72859482215</v>
      </c>
      <c r="AI33" s="50">
        <f t="shared" si="22"/>
        <v>148653.14122315613</v>
      </c>
      <c r="AJ33" s="50">
        <f t="shared" si="22"/>
        <v>3064453.1665888494</v>
      </c>
      <c r="AK33" s="50">
        <f t="shared" si="22"/>
        <v>0</v>
      </c>
      <c r="AL33" s="50">
        <f t="shared" si="22"/>
        <v>0</v>
      </c>
      <c r="AM33" s="50">
        <f t="shared" si="22"/>
        <v>0</v>
      </c>
      <c r="AN33" s="50">
        <f t="shared" si="22"/>
        <v>0</v>
      </c>
      <c r="AO33" s="50">
        <f t="shared" si="22"/>
        <v>0</v>
      </c>
      <c r="AP33" s="50">
        <f t="shared" si="22"/>
        <v>0</v>
      </c>
      <c r="AR33" s="2"/>
    </row>
    <row r="34" spans="2:44" x14ac:dyDescent="0.25">
      <c r="B34" s="2"/>
      <c r="D34" s="13" t="s">
        <v>31</v>
      </c>
      <c r="H34" s="35">
        <v>1.4999999999999999E-2</v>
      </c>
      <c r="J34" s="26" t="s">
        <v>70</v>
      </c>
      <c r="K34" s="27"/>
      <c r="L34" s="89">
        <f t="array" ref="L34:N34">TRANSPOSE(AA100:AA102)</f>
        <v>0.27625897760515183</v>
      </c>
      <c r="M34" s="90">
        <v>3.0737544523404585</v>
      </c>
      <c r="N34" s="91">
        <v>1550214.9424787434</v>
      </c>
      <c r="P34" s="54" t="s">
        <v>23</v>
      </c>
      <c r="Q34" s="53"/>
      <c r="R34" s="53"/>
      <c r="S34" s="53"/>
      <c r="T34" s="57"/>
      <c r="V34" s="2"/>
      <c r="X34" s="2"/>
      <c r="AR34" s="2"/>
    </row>
    <row r="35" spans="2:44" x14ac:dyDescent="0.25">
      <c r="B35" s="2"/>
      <c r="D35" s="24" t="s">
        <v>101</v>
      </c>
      <c r="E35" s="22"/>
      <c r="F35" s="22"/>
      <c r="G35" s="22"/>
      <c r="H35" s="32">
        <v>0</v>
      </c>
      <c r="P35" s="13" t="s">
        <v>19</v>
      </c>
      <c r="T35" s="35">
        <v>6.4500000000000002E-2</v>
      </c>
      <c r="V35" s="2"/>
      <c r="X35" s="2"/>
      <c r="Z35" s="25" t="s">
        <v>33</v>
      </c>
      <c r="AA35" s="25"/>
      <c r="AB35" s="25"/>
      <c r="AC35" s="25"/>
      <c r="AD35" s="25"/>
      <c r="AE35" s="41">
        <f>AD14*$H$42</f>
        <v>0</v>
      </c>
      <c r="AF35" s="41">
        <f t="shared" ref="AF35:AP35" si="23">AE14*$H$42</f>
        <v>0.26</v>
      </c>
      <c r="AG35" s="41">
        <f t="shared" si="23"/>
        <v>0.27</v>
      </c>
      <c r="AH35" s="41">
        <f t="shared" si="23"/>
        <v>0.27</v>
      </c>
      <c r="AI35" s="41">
        <f t="shared" si="23"/>
        <v>0.27</v>
      </c>
      <c r="AJ35" s="41">
        <f t="shared" si="23"/>
        <v>0.27</v>
      </c>
      <c r="AK35" s="41">
        <f t="shared" si="23"/>
        <v>0.27</v>
      </c>
      <c r="AL35" s="41">
        <f t="shared" si="23"/>
        <v>0.27</v>
      </c>
      <c r="AM35" s="41">
        <f t="shared" si="23"/>
        <v>0.27</v>
      </c>
      <c r="AN35" s="41">
        <f t="shared" si="23"/>
        <v>0.27</v>
      </c>
      <c r="AO35" s="41">
        <f t="shared" si="23"/>
        <v>0.27</v>
      </c>
      <c r="AP35" s="41">
        <f t="shared" si="23"/>
        <v>0.27</v>
      </c>
      <c r="AR35" s="2"/>
    </row>
    <row r="36" spans="2:44" x14ac:dyDescent="0.25">
      <c r="B36" s="2"/>
      <c r="D36" s="13" t="s">
        <v>102</v>
      </c>
      <c r="H36" s="35">
        <v>0</v>
      </c>
      <c r="P36" s="13" t="s">
        <v>110</v>
      </c>
      <c r="T36" s="20" cm="1">
        <f t="array" ref="T36">SUMPRODUCT(AE26:AP26,--(AE7:AP7&gt;T31),--(AE7:AP7&lt;=T31+1))</f>
        <v>180081.79927727202</v>
      </c>
      <c r="V36" s="2"/>
      <c r="X36" s="2"/>
      <c r="AR36" s="2"/>
    </row>
    <row r="37" spans="2:44" ht="15" x14ac:dyDescent="0.25">
      <c r="B37" s="2"/>
      <c r="D37" s="36" t="s">
        <v>104</v>
      </c>
      <c r="E37" s="34"/>
      <c r="F37" s="34"/>
      <c r="G37" s="34"/>
      <c r="H37" s="39"/>
      <c r="J37" s="92"/>
      <c r="L37" s="104"/>
      <c r="M37" s="104"/>
      <c r="N37" s="104"/>
      <c r="P37" s="13" t="s">
        <v>24</v>
      </c>
      <c r="S37" s="8"/>
      <c r="T37" s="20">
        <f>T36/T11</f>
        <v>3274214.5323140365</v>
      </c>
      <c r="V37" s="2"/>
      <c r="X37" s="2"/>
      <c r="Z37" s="25" t="s">
        <v>34</v>
      </c>
      <c r="AA37" s="25"/>
      <c r="AB37" s="25"/>
      <c r="AC37" s="25"/>
      <c r="AD37" s="25"/>
      <c r="AE37" s="42">
        <f>$H$47</f>
        <v>0</v>
      </c>
      <c r="AF37" s="42">
        <f t="shared" ref="AF37:AP37" si="24">$AE$37*(1+$H$48)^AF7</f>
        <v>0</v>
      </c>
      <c r="AG37" s="42">
        <f t="shared" si="24"/>
        <v>0</v>
      </c>
      <c r="AH37" s="42">
        <f t="shared" si="24"/>
        <v>0</v>
      </c>
      <c r="AI37" s="42">
        <f t="shared" si="24"/>
        <v>0</v>
      </c>
      <c r="AJ37" s="42">
        <f t="shared" si="24"/>
        <v>0</v>
      </c>
      <c r="AK37" s="42">
        <f t="shared" si="24"/>
        <v>0</v>
      </c>
      <c r="AL37" s="42">
        <f t="shared" si="24"/>
        <v>0</v>
      </c>
      <c r="AM37" s="42">
        <f t="shared" si="24"/>
        <v>0</v>
      </c>
      <c r="AN37" s="42">
        <f t="shared" si="24"/>
        <v>0</v>
      </c>
      <c r="AO37" s="42">
        <f t="shared" si="24"/>
        <v>0</v>
      </c>
      <c r="AP37" s="42">
        <f t="shared" si="24"/>
        <v>0</v>
      </c>
      <c r="AR37" s="2"/>
    </row>
    <row r="38" spans="2:44" x14ac:dyDescent="0.25">
      <c r="B38" s="2"/>
      <c r="D38" s="13" t="s">
        <v>105</v>
      </c>
      <c r="G38" s="31">
        <v>0.96</v>
      </c>
      <c r="H38" s="20">
        <f>ROUNDUP(Lots*G38,0)</f>
        <v>26</v>
      </c>
      <c r="L38" s="102"/>
      <c r="M38" s="103"/>
      <c r="N38" s="105"/>
      <c r="P38" s="13" t="s">
        <v>87</v>
      </c>
      <c r="S38" s="8">
        <f>PV(T35,T41,T36/T38)*-1</f>
        <v>1891096.7216247967</v>
      </c>
      <c r="T38" s="83">
        <v>1.25</v>
      </c>
      <c r="V38" s="2"/>
      <c r="X38" s="2"/>
      <c r="AR38" s="2"/>
    </row>
    <row r="39" spans="2:44" x14ac:dyDescent="0.25">
      <c r="B39" s="2"/>
      <c r="D39" s="26" t="s">
        <v>106</v>
      </c>
      <c r="E39" s="27"/>
      <c r="F39" s="27"/>
      <c r="G39" s="27"/>
      <c r="H39" s="30">
        <v>1</v>
      </c>
      <c r="L39" s="102"/>
      <c r="M39" s="103"/>
      <c r="N39" s="105"/>
      <c r="P39" s="13" t="s">
        <v>88</v>
      </c>
      <c r="S39" s="8">
        <f>T39*T37</f>
        <v>2455660.8992355275</v>
      </c>
      <c r="T39" s="35">
        <v>0.75</v>
      </c>
      <c r="V39" s="2"/>
      <c r="X39" s="2"/>
      <c r="Z39" s="43" t="s">
        <v>94</v>
      </c>
      <c r="AA39" s="43"/>
      <c r="AB39" s="43"/>
      <c r="AC39" s="43"/>
      <c r="AD39" s="43"/>
      <c r="AE39" s="44">
        <f>AE37*AE35*12</f>
        <v>0</v>
      </c>
      <c r="AF39" s="44">
        <f t="shared" ref="AF39:AP39" si="25">AF37*AF35*12</f>
        <v>0</v>
      </c>
      <c r="AG39" s="44">
        <f t="shared" si="25"/>
        <v>0</v>
      </c>
      <c r="AH39" s="44">
        <f t="shared" si="25"/>
        <v>0</v>
      </c>
      <c r="AI39" s="44">
        <f t="shared" si="25"/>
        <v>0</v>
      </c>
      <c r="AJ39" s="44">
        <f t="shared" si="25"/>
        <v>0</v>
      </c>
      <c r="AK39" s="44">
        <f t="shared" si="25"/>
        <v>0</v>
      </c>
      <c r="AL39" s="44">
        <f t="shared" si="25"/>
        <v>0</v>
      </c>
      <c r="AM39" s="44">
        <f t="shared" si="25"/>
        <v>0</v>
      </c>
      <c r="AN39" s="44">
        <f t="shared" si="25"/>
        <v>0</v>
      </c>
      <c r="AO39" s="44">
        <f t="shared" si="25"/>
        <v>0</v>
      </c>
      <c r="AP39" s="44">
        <f t="shared" si="25"/>
        <v>0</v>
      </c>
      <c r="AR39" s="2"/>
    </row>
    <row r="40" spans="2:44" ht="15" x14ac:dyDescent="0.25">
      <c r="B40" s="2"/>
      <c r="J40" s="92"/>
      <c r="L40" s="104"/>
      <c r="M40" s="104"/>
      <c r="N40" s="104"/>
      <c r="P40" s="13" t="s">
        <v>20</v>
      </c>
      <c r="T40" s="20">
        <f>MIN(S38:S39)</f>
        <v>1891096.7216247967</v>
      </c>
      <c r="V40" s="2"/>
      <c r="X40" s="2"/>
      <c r="Z40" s="25" t="s">
        <v>30</v>
      </c>
      <c r="AA40" s="25"/>
      <c r="AB40" s="25"/>
      <c r="AC40" s="25"/>
      <c r="AD40" s="25"/>
      <c r="AE40" s="41">
        <f t="shared" ref="AE40:AP40" si="26">AE39*-1*$H$49</f>
        <v>0</v>
      </c>
      <c r="AF40" s="41">
        <f t="shared" si="26"/>
        <v>0</v>
      </c>
      <c r="AG40" s="41">
        <f t="shared" si="26"/>
        <v>0</v>
      </c>
      <c r="AH40" s="41">
        <f t="shared" si="26"/>
        <v>0</v>
      </c>
      <c r="AI40" s="41">
        <f t="shared" si="26"/>
        <v>0</v>
      </c>
      <c r="AJ40" s="41">
        <f t="shared" si="26"/>
        <v>0</v>
      </c>
      <c r="AK40" s="41">
        <f t="shared" si="26"/>
        <v>0</v>
      </c>
      <c r="AL40" s="41">
        <f t="shared" si="26"/>
        <v>0</v>
      </c>
      <c r="AM40" s="41">
        <f t="shared" si="26"/>
        <v>0</v>
      </c>
      <c r="AN40" s="41">
        <f t="shared" si="26"/>
        <v>0</v>
      </c>
      <c r="AO40" s="41">
        <f t="shared" si="26"/>
        <v>0</v>
      </c>
      <c r="AP40" s="41">
        <f t="shared" si="26"/>
        <v>0</v>
      </c>
      <c r="AR40" s="2"/>
    </row>
    <row r="41" spans="2:44" x14ac:dyDescent="0.25">
      <c r="B41" s="2"/>
      <c r="D41" s="16" t="s">
        <v>38</v>
      </c>
      <c r="E41" s="17"/>
      <c r="F41" s="17"/>
      <c r="G41" s="17"/>
      <c r="H41" s="18"/>
      <c r="L41" s="102"/>
      <c r="M41" s="103"/>
      <c r="N41" s="105"/>
      <c r="P41" s="13" t="s">
        <v>21</v>
      </c>
      <c r="T41" s="106">
        <v>30</v>
      </c>
      <c r="V41" s="2"/>
      <c r="X41" s="2"/>
      <c r="Z41" s="25" t="s">
        <v>31</v>
      </c>
      <c r="AA41" s="25"/>
      <c r="AB41" s="25"/>
      <c r="AC41" s="25"/>
      <c r="AD41" s="25"/>
      <c r="AE41" s="41">
        <f t="shared" ref="AE41:AP41" si="27">AE39*-1*$H$50</f>
        <v>0</v>
      </c>
      <c r="AF41" s="41">
        <f t="shared" si="27"/>
        <v>0</v>
      </c>
      <c r="AG41" s="41">
        <f t="shared" si="27"/>
        <v>0</v>
      </c>
      <c r="AH41" s="41">
        <f t="shared" si="27"/>
        <v>0</v>
      </c>
      <c r="AI41" s="41">
        <f t="shared" si="27"/>
        <v>0</v>
      </c>
      <c r="AJ41" s="41">
        <f t="shared" si="27"/>
        <v>0</v>
      </c>
      <c r="AK41" s="41">
        <f t="shared" si="27"/>
        <v>0</v>
      </c>
      <c r="AL41" s="41">
        <f t="shared" si="27"/>
        <v>0</v>
      </c>
      <c r="AM41" s="41">
        <f t="shared" si="27"/>
        <v>0</v>
      </c>
      <c r="AN41" s="41">
        <f t="shared" si="27"/>
        <v>0</v>
      </c>
      <c r="AO41" s="41">
        <f t="shared" si="27"/>
        <v>0</v>
      </c>
      <c r="AP41" s="41">
        <f t="shared" si="27"/>
        <v>0</v>
      </c>
      <c r="AR41" s="2"/>
    </row>
    <row r="42" spans="2:44" x14ac:dyDescent="0.25">
      <c r="B42" s="2"/>
      <c r="D42" s="13" t="s">
        <v>42</v>
      </c>
      <c r="G42" s="8">
        <f>H42*Lots</f>
        <v>0.27</v>
      </c>
      <c r="H42" s="35">
        <v>0.01</v>
      </c>
      <c r="L42" s="102"/>
      <c r="M42" s="103"/>
      <c r="N42" s="105"/>
      <c r="P42" s="13" t="s">
        <v>22</v>
      </c>
      <c r="S42" s="107">
        <f>T32</f>
        <v>45535</v>
      </c>
      <c r="T42" s="67">
        <f>EOMONTH(S42,T41*12)</f>
        <v>56492</v>
      </c>
      <c r="V42" s="2"/>
      <c r="X42" s="2"/>
      <c r="Z42" s="43" t="s">
        <v>95</v>
      </c>
      <c r="AA42" s="43"/>
      <c r="AB42" s="43"/>
      <c r="AC42" s="43"/>
      <c r="AD42" s="43"/>
      <c r="AE42" s="44">
        <f>SUM(AE39:AE41)</f>
        <v>0</v>
      </c>
      <c r="AF42" s="44">
        <f t="shared" ref="AF42" si="28">SUM(AF39:AF41)</f>
        <v>0</v>
      </c>
      <c r="AG42" s="44">
        <f t="shared" ref="AG42" si="29">SUM(AG39:AG41)</f>
        <v>0</v>
      </c>
      <c r="AH42" s="44">
        <f t="shared" ref="AH42" si="30">SUM(AH39:AH41)</f>
        <v>0</v>
      </c>
      <c r="AI42" s="44">
        <f t="shared" ref="AI42" si="31">SUM(AI39:AI41)</f>
        <v>0</v>
      </c>
      <c r="AJ42" s="44">
        <f t="shared" ref="AJ42" si="32">SUM(AJ39:AJ41)</f>
        <v>0</v>
      </c>
      <c r="AK42" s="44">
        <f t="shared" ref="AK42" si="33">SUM(AK39:AK41)</f>
        <v>0</v>
      </c>
      <c r="AL42" s="44">
        <f t="shared" ref="AL42" si="34">SUM(AL39:AL41)</f>
        <v>0</v>
      </c>
      <c r="AM42" s="44">
        <f t="shared" ref="AM42" si="35">SUM(AM39:AM41)</f>
        <v>0</v>
      </c>
      <c r="AN42" s="44">
        <f t="shared" ref="AN42" si="36">SUM(AN39:AN41)</f>
        <v>0</v>
      </c>
      <c r="AO42" s="44">
        <f t="shared" ref="AO42" si="37">SUM(AO39:AO41)</f>
        <v>0</v>
      </c>
      <c r="AP42" s="44">
        <f t="shared" ref="AP42" si="38">SUM(AP39:AP41)</f>
        <v>0</v>
      </c>
      <c r="AR42" s="2"/>
    </row>
    <row r="43" spans="2:44" ht="15" x14ac:dyDescent="0.25">
      <c r="B43" s="2"/>
      <c r="D43" s="12"/>
      <c r="E43" s="2"/>
      <c r="F43" s="6" t="s">
        <v>14</v>
      </c>
      <c r="G43" s="6" t="s">
        <v>46</v>
      </c>
      <c r="H43" s="19" t="s">
        <v>7</v>
      </c>
      <c r="P43" s="13" t="s">
        <v>9</v>
      </c>
      <c r="S43" s="31">
        <v>0.01</v>
      </c>
      <c r="T43" s="20">
        <f>S43*T40</f>
        <v>18910.967216247969</v>
      </c>
      <c r="V43" s="2"/>
      <c r="X43" s="2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R43" s="2"/>
    </row>
    <row r="44" spans="2:44" x14ac:dyDescent="0.25">
      <c r="B44" s="2"/>
      <c r="D44" s="14" t="s">
        <v>45</v>
      </c>
      <c r="E44" s="9"/>
      <c r="F44" s="9"/>
      <c r="G44" s="51">
        <v>1</v>
      </c>
      <c r="H44" s="21">
        <f>G44*G42</f>
        <v>0.27</v>
      </c>
      <c r="P44" s="54" t="s">
        <v>40</v>
      </c>
      <c r="Q44" s="53"/>
      <c r="R44" s="53"/>
      <c r="S44" s="53"/>
      <c r="T44" s="57"/>
      <c r="V44" s="2"/>
      <c r="X44" s="2"/>
      <c r="Z44" s="47" t="s">
        <v>96</v>
      </c>
      <c r="AA44" s="47"/>
      <c r="AB44" s="47"/>
      <c r="AC44" s="47"/>
      <c r="AD44" s="47"/>
      <c r="AE44" s="48">
        <f t="shared" ref="AE44:AP44" si="39">IFERROR(INDEX($D$52:$H$56,MATCH(AE7,$D$52:$D$56,0),5),$H$57)*-1*AE42</f>
        <v>0</v>
      </c>
      <c r="AF44" s="48">
        <f t="shared" si="39"/>
        <v>0</v>
      </c>
      <c r="AG44" s="48">
        <f t="shared" si="39"/>
        <v>0</v>
      </c>
      <c r="AH44" s="48">
        <f t="shared" si="39"/>
        <v>0</v>
      </c>
      <c r="AI44" s="48">
        <f t="shared" si="39"/>
        <v>0</v>
      </c>
      <c r="AJ44" s="48">
        <f t="shared" si="39"/>
        <v>0</v>
      </c>
      <c r="AK44" s="48">
        <f t="shared" si="39"/>
        <v>0</v>
      </c>
      <c r="AL44" s="48">
        <f t="shared" si="39"/>
        <v>0</v>
      </c>
      <c r="AM44" s="48">
        <f t="shared" si="39"/>
        <v>0</v>
      </c>
      <c r="AN44" s="48">
        <f t="shared" si="39"/>
        <v>0</v>
      </c>
      <c r="AO44" s="48">
        <f t="shared" si="39"/>
        <v>0</v>
      </c>
      <c r="AP44" s="48">
        <f t="shared" si="39"/>
        <v>0</v>
      </c>
      <c r="AR44" s="2"/>
    </row>
    <row r="45" spans="2:44" x14ac:dyDescent="0.25">
      <c r="B45" s="2"/>
      <c r="D45" s="13" t="s">
        <v>44</v>
      </c>
      <c r="F45" s="31">
        <v>0</v>
      </c>
      <c r="G45" s="7">
        <f>H45/G42</f>
        <v>0</v>
      </c>
      <c r="H45" s="20">
        <f>H44*F45</f>
        <v>0</v>
      </c>
      <c r="P45" s="13" t="s">
        <v>19</v>
      </c>
      <c r="T45" s="35">
        <v>0</v>
      </c>
      <c r="V45" s="2"/>
      <c r="X45" s="2"/>
      <c r="AR45" s="2"/>
    </row>
    <row r="46" spans="2:44" x14ac:dyDescent="0.25">
      <c r="B46" s="2"/>
      <c r="D46" s="15" t="s">
        <v>43</v>
      </c>
      <c r="E46" s="10"/>
      <c r="F46" s="10"/>
      <c r="G46" s="11">
        <f>SUM(G44:G45)</f>
        <v>1</v>
      </c>
      <c r="H46" s="23">
        <f>SUM(H44:H45)</f>
        <v>0.27</v>
      </c>
      <c r="P46" s="13" t="s">
        <v>86</v>
      </c>
      <c r="T46" s="35">
        <v>0</v>
      </c>
      <c r="V46" s="2"/>
      <c r="X46" s="2"/>
      <c r="Z46" s="49" t="s">
        <v>97</v>
      </c>
      <c r="AA46" s="49"/>
      <c r="AB46" s="49"/>
      <c r="AC46" s="49"/>
      <c r="AD46" s="49"/>
      <c r="AE46" s="50">
        <f>AE44+AE42</f>
        <v>0</v>
      </c>
      <c r="AF46" s="50">
        <f t="shared" ref="AF46:AP46" si="40">AF44+AF42</f>
        <v>0</v>
      </c>
      <c r="AG46" s="50">
        <f t="shared" si="40"/>
        <v>0</v>
      </c>
      <c r="AH46" s="50">
        <f t="shared" si="40"/>
        <v>0</v>
      </c>
      <c r="AI46" s="50">
        <f t="shared" si="40"/>
        <v>0</v>
      </c>
      <c r="AJ46" s="50">
        <f t="shared" si="40"/>
        <v>0</v>
      </c>
      <c r="AK46" s="50">
        <f t="shared" si="40"/>
        <v>0</v>
      </c>
      <c r="AL46" s="50">
        <f t="shared" si="40"/>
        <v>0</v>
      </c>
      <c r="AM46" s="50">
        <f t="shared" si="40"/>
        <v>0</v>
      </c>
      <c r="AN46" s="50">
        <f t="shared" si="40"/>
        <v>0</v>
      </c>
      <c r="AO46" s="50">
        <f t="shared" si="40"/>
        <v>0</v>
      </c>
      <c r="AP46" s="50">
        <f t="shared" si="40"/>
        <v>0</v>
      </c>
      <c r="AR46" s="2"/>
    </row>
    <row r="47" spans="2:44" x14ac:dyDescent="0.25">
      <c r="B47" s="2"/>
      <c r="D47" s="24" t="s">
        <v>47</v>
      </c>
      <c r="E47" s="22"/>
      <c r="F47" s="22"/>
      <c r="G47" s="22"/>
      <c r="H47" s="32">
        <v>0</v>
      </c>
      <c r="P47" s="13" t="s">
        <v>59</v>
      </c>
      <c r="T47" s="20">
        <f>T46*$G$46</f>
        <v>0</v>
      </c>
      <c r="V47" s="2"/>
      <c r="X47" s="2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R47" s="2"/>
    </row>
    <row r="48" spans="2:44" x14ac:dyDescent="0.25">
      <c r="B48" s="2"/>
      <c r="D48" s="26" t="s">
        <v>48</v>
      </c>
      <c r="E48" s="27"/>
      <c r="F48" s="27"/>
      <c r="G48" s="27"/>
      <c r="H48" s="33">
        <v>0</v>
      </c>
      <c r="P48" s="26" t="s">
        <v>21</v>
      </c>
      <c r="Q48" s="27"/>
      <c r="R48" s="27"/>
      <c r="S48" s="27"/>
      <c r="T48" s="108">
        <v>0</v>
      </c>
      <c r="V48" s="2"/>
      <c r="X48" s="2"/>
      <c r="Z48" s="25" t="s">
        <v>50</v>
      </c>
      <c r="AA48" s="25"/>
      <c r="AB48" s="25"/>
      <c r="AC48" s="81">
        <f>SUM(AE48:AP48)*-1</f>
        <v>0.27</v>
      </c>
      <c r="AD48" s="25"/>
      <c r="AE48" s="41">
        <f t="shared" ref="AE48:AO48" si="41">$G$44*(AF35-AE35)*-1</f>
        <v>-0.26</v>
      </c>
      <c r="AF48" s="41">
        <f t="shared" si="41"/>
        <v>-1.0000000000000009E-2</v>
      </c>
      <c r="AG48" s="41">
        <f t="shared" si="41"/>
        <v>0</v>
      </c>
      <c r="AH48" s="41">
        <f t="shared" si="41"/>
        <v>0</v>
      </c>
      <c r="AI48" s="41">
        <f t="shared" si="41"/>
        <v>0</v>
      </c>
      <c r="AJ48" s="41">
        <f t="shared" si="41"/>
        <v>0</v>
      </c>
      <c r="AK48" s="41">
        <f t="shared" si="41"/>
        <v>0</v>
      </c>
      <c r="AL48" s="41">
        <f t="shared" si="41"/>
        <v>0</v>
      </c>
      <c r="AM48" s="41">
        <f t="shared" si="41"/>
        <v>0</v>
      </c>
      <c r="AN48" s="41">
        <f t="shared" si="41"/>
        <v>0</v>
      </c>
      <c r="AO48" s="41">
        <f t="shared" si="41"/>
        <v>0</v>
      </c>
      <c r="AP48" s="109">
        <v>0</v>
      </c>
      <c r="AR48" s="2"/>
    </row>
    <row r="49" spans="2:44" x14ac:dyDescent="0.25">
      <c r="B49" s="2"/>
      <c r="D49" s="13" t="s">
        <v>30</v>
      </c>
      <c r="H49" s="35">
        <v>0</v>
      </c>
      <c r="V49" s="2"/>
      <c r="X49" s="2"/>
      <c r="Z49" s="25" t="s">
        <v>51</v>
      </c>
      <c r="AA49" s="25"/>
      <c r="AB49" s="25"/>
      <c r="AC49" s="81">
        <f>SUM(AE49:AP49)*-1</f>
        <v>0</v>
      </c>
      <c r="AD49" s="25"/>
      <c r="AE49" s="41">
        <f t="shared" ref="AE49:AP49" si="42">AE48*$F$45</f>
        <v>0</v>
      </c>
      <c r="AF49" s="41">
        <f t="shared" si="42"/>
        <v>0</v>
      </c>
      <c r="AG49" s="41">
        <f t="shared" si="42"/>
        <v>0</v>
      </c>
      <c r="AH49" s="41">
        <f t="shared" si="42"/>
        <v>0</v>
      </c>
      <c r="AI49" s="41">
        <f t="shared" si="42"/>
        <v>0</v>
      </c>
      <c r="AJ49" s="41">
        <f t="shared" si="42"/>
        <v>0</v>
      </c>
      <c r="AK49" s="41">
        <f t="shared" si="42"/>
        <v>0</v>
      </c>
      <c r="AL49" s="41">
        <f t="shared" si="42"/>
        <v>0</v>
      </c>
      <c r="AM49" s="41">
        <f t="shared" si="42"/>
        <v>0</v>
      </c>
      <c r="AN49" s="41">
        <f t="shared" si="42"/>
        <v>0</v>
      </c>
      <c r="AO49" s="41">
        <f t="shared" si="42"/>
        <v>0</v>
      </c>
      <c r="AP49" s="41">
        <f t="shared" si="42"/>
        <v>0</v>
      </c>
      <c r="AR49" s="2"/>
    </row>
    <row r="50" spans="2:44" x14ac:dyDescent="0.25">
      <c r="B50" s="2"/>
      <c r="D50" s="13" t="s">
        <v>31</v>
      </c>
      <c r="H50" s="35">
        <v>0</v>
      </c>
      <c r="V50" s="2"/>
      <c r="X50" s="2"/>
      <c r="Z50" s="25" t="s">
        <v>52</v>
      </c>
      <c r="AA50" s="25"/>
      <c r="AB50" s="25"/>
      <c r="AC50" s="25"/>
      <c r="AD50" s="25"/>
      <c r="AE50" s="41">
        <f t="shared" ref="AE50:AP50" si="43">$T$21*(AE10=End_Date)</f>
        <v>0</v>
      </c>
      <c r="AF50" s="41">
        <f t="shared" si="43"/>
        <v>0</v>
      </c>
      <c r="AG50" s="41">
        <f t="shared" si="43"/>
        <v>0</v>
      </c>
      <c r="AH50" s="41">
        <f t="shared" si="43"/>
        <v>0</v>
      </c>
      <c r="AI50" s="41">
        <f t="shared" si="43"/>
        <v>0</v>
      </c>
      <c r="AJ50" s="41">
        <f t="shared" si="43"/>
        <v>0</v>
      </c>
      <c r="AK50" s="41">
        <f t="shared" si="43"/>
        <v>0</v>
      </c>
      <c r="AL50" s="41">
        <f t="shared" si="43"/>
        <v>0</v>
      </c>
      <c r="AM50" s="41">
        <f t="shared" si="43"/>
        <v>0</v>
      </c>
      <c r="AN50" s="41">
        <f t="shared" si="43"/>
        <v>0</v>
      </c>
      <c r="AO50" s="41">
        <f t="shared" si="43"/>
        <v>0</v>
      </c>
      <c r="AP50" s="41">
        <f t="shared" si="43"/>
        <v>0</v>
      </c>
      <c r="AR50" s="2"/>
    </row>
    <row r="51" spans="2:44" x14ac:dyDescent="0.25">
      <c r="B51" s="2"/>
      <c r="D51" s="36" t="s">
        <v>92</v>
      </c>
      <c r="E51" s="34"/>
      <c r="F51" s="34"/>
      <c r="G51" s="34"/>
      <c r="H51" s="39"/>
      <c r="V51" s="2"/>
      <c r="X51" s="2"/>
      <c r="Z51" s="25" t="s">
        <v>53</v>
      </c>
      <c r="AA51" s="25"/>
      <c r="AB51" s="25"/>
      <c r="AC51" s="25"/>
      <c r="AD51" s="25"/>
      <c r="AE51" s="41">
        <f>AE50*-1*$R$22</f>
        <v>0</v>
      </c>
      <c r="AF51" s="41">
        <f t="shared" ref="AF51:AP51" si="44">AF50*-1*$R$22</f>
        <v>0</v>
      </c>
      <c r="AG51" s="41">
        <f t="shared" si="44"/>
        <v>0</v>
      </c>
      <c r="AH51" s="41">
        <f t="shared" si="44"/>
        <v>0</v>
      </c>
      <c r="AI51" s="41">
        <f t="shared" si="44"/>
        <v>0</v>
      </c>
      <c r="AJ51" s="41">
        <f t="shared" si="44"/>
        <v>0</v>
      </c>
      <c r="AK51" s="41">
        <f t="shared" si="44"/>
        <v>0</v>
      </c>
      <c r="AL51" s="41">
        <f t="shared" si="44"/>
        <v>0</v>
      </c>
      <c r="AM51" s="41">
        <f t="shared" si="44"/>
        <v>0</v>
      </c>
      <c r="AN51" s="41">
        <f t="shared" si="44"/>
        <v>0</v>
      </c>
      <c r="AO51" s="41">
        <f t="shared" si="44"/>
        <v>0</v>
      </c>
      <c r="AP51" s="41">
        <f t="shared" si="44"/>
        <v>0</v>
      </c>
      <c r="AR51" s="2"/>
    </row>
    <row r="52" spans="2:44" x14ac:dyDescent="0.25">
      <c r="B52" s="2"/>
      <c r="D52" s="37">
        <v>1</v>
      </c>
      <c r="H52" s="35">
        <v>0</v>
      </c>
      <c r="V52" s="2"/>
      <c r="X52" s="2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R52" s="2"/>
    </row>
    <row r="53" spans="2:44" x14ac:dyDescent="0.25">
      <c r="B53" s="2"/>
      <c r="D53" s="38">
        <f>D52+1</f>
        <v>2</v>
      </c>
      <c r="H53" s="35">
        <f>H52-2.5%</f>
        <v>-2.5000000000000001E-2</v>
      </c>
      <c r="V53" s="2"/>
      <c r="X53" s="2"/>
      <c r="Z53" s="49" t="s">
        <v>98</v>
      </c>
      <c r="AA53" s="49"/>
      <c r="AB53" s="49"/>
      <c r="AC53" s="49"/>
      <c r="AD53" s="49"/>
      <c r="AE53" s="50">
        <f t="shared" ref="AE53:AP53" si="45">SUM(AE48:AE51,AE46)*(AE10&lt;=End_Date)</f>
        <v>-0.26</v>
      </c>
      <c r="AF53" s="50">
        <f t="shared" si="45"/>
        <v>-1.0000000000000009E-2</v>
      </c>
      <c r="AG53" s="50">
        <f t="shared" si="45"/>
        <v>0</v>
      </c>
      <c r="AH53" s="50">
        <f t="shared" si="45"/>
        <v>0</v>
      </c>
      <c r="AI53" s="50">
        <f t="shared" si="45"/>
        <v>0</v>
      </c>
      <c r="AJ53" s="50">
        <f t="shared" si="45"/>
        <v>0</v>
      </c>
      <c r="AK53" s="50">
        <f t="shared" si="45"/>
        <v>0</v>
      </c>
      <c r="AL53" s="50">
        <f t="shared" si="45"/>
        <v>0</v>
      </c>
      <c r="AM53" s="50">
        <f t="shared" si="45"/>
        <v>0</v>
      </c>
      <c r="AN53" s="50">
        <f t="shared" si="45"/>
        <v>0</v>
      </c>
      <c r="AO53" s="50">
        <f t="shared" si="45"/>
        <v>0</v>
      </c>
      <c r="AP53" s="50">
        <f t="shared" si="45"/>
        <v>0</v>
      </c>
      <c r="AR53" s="2"/>
    </row>
    <row r="54" spans="2:44" x14ac:dyDescent="0.25">
      <c r="B54" s="2"/>
      <c r="D54" s="38">
        <f t="shared" ref="D54:D56" si="46">D53+1</f>
        <v>3</v>
      </c>
      <c r="H54" s="35">
        <f t="shared" ref="H54:H56" si="47">H53-2.5%</f>
        <v>-0.05</v>
      </c>
      <c r="V54" s="2"/>
      <c r="X54" s="2"/>
      <c r="AR54" s="2"/>
    </row>
    <row r="55" spans="2:44" x14ac:dyDescent="0.25">
      <c r="B55" s="2"/>
      <c r="D55" s="38">
        <f t="shared" si="46"/>
        <v>4</v>
      </c>
      <c r="H55" s="35">
        <f t="shared" si="47"/>
        <v>-7.5000000000000011E-2</v>
      </c>
      <c r="V55" s="2"/>
      <c r="X55" s="2"/>
      <c r="Z55" s="49" t="s">
        <v>57</v>
      </c>
      <c r="AA55" s="49"/>
      <c r="AB55" s="49"/>
      <c r="AC55" s="49"/>
      <c r="AD55" s="49"/>
      <c r="AE55" s="50">
        <f t="shared" ref="AE55:AP55" si="48">AE53+AE33</f>
        <v>-1854360.26</v>
      </c>
      <c r="AF55" s="50">
        <f t="shared" si="48"/>
        <v>101669.93799723062</v>
      </c>
      <c r="AG55" s="50">
        <f t="shared" si="48"/>
        <v>114267.29044054339</v>
      </c>
      <c r="AH55" s="50">
        <f t="shared" si="48"/>
        <v>129380.72859482215</v>
      </c>
      <c r="AI55" s="50">
        <f t="shared" si="48"/>
        <v>148653.14122315613</v>
      </c>
      <c r="AJ55" s="50">
        <f t="shared" si="48"/>
        <v>3064453.1665888494</v>
      </c>
      <c r="AK55" s="50">
        <f t="shared" si="48"/>
        <v>0</v>
      </c>
      <c r="AL55" s="50">
        <f t="shared" si="48"/>
        <v>0</v>
      </c>
      <c r="AM55" s="50">
        <f t="shared" si="48"/>
        <v>0</v>
      </c>
      <c r="AN55" s="50">
        <f t="shared" si="48"/>
        <v>0</v>
      </c>
      <c r="AO55" s="50">
        <f t="shared" si="48"/>
        <v>0</v>
      </c>
      <c r="AP55" s="50">
        <f t="shared" si="48"/>
        <v>0</v>
      </c>
      <c r="AR55" s="2"/>
    </row>
    <row r="56" spans="2:44" x14ac:dyDescent="0.25">
      <c r="B56" s="2"/>
      <c r="D56" s="38">
        <f t="shared" si="46"/>
        <v>5</v>
      </c>
      <c r="H56" s="35">
        <f t="shared" si="47"/>
        <v>-0.1</v>
      </c>
      <c r="V56" s="2"/>
      <c r="X56" s="2"/>
      <c r="AR56" s="2"/>
    </row>
    <row r="57" spans="2:44" x14ac:dyDescent="0.25">
      <c r="B57" s="2"/>
      <c r="D57" s="26" t="s">
        <v>113</v>
      </c>
      <c r="E57" s="27"/>
      <c r="F57" s="27"/>
      <c r="G57" s="27"/>
      <c r="H57" s="33">
        <v>0</v>
      </c>
      <c r="V57" s="2"/>
      <c r="X57" s="2"/>
      <c r="Z57" s="16" t="s">
        <v>58</v>
      </c>
      <c r="AA57" s="52"/>
      <c r="AR57" s="2"/>
    </row>
    <row r="58" spans="2:44" x14ac:dyDescent="0.25">
      <c r="B58" s="2"/>
      <c r="V58" s="2"/>
      <c r="X58" s="2"/>
      <c r="Z58" s="13" t="s">
        <v>54</v>
      </c>
      <c r="AA58" s="76">
        <f>IRR(AE55:AP55)</f>
        <v>0.1519211501369131</v>
      </c>
      <c r="AR58" s="2"/>
    </row>
    <row r="59" spans="2:44" x14ac:dyDescent="0.25">
      <c r="B59" s="2"/>
      <c r="V59" s="2"/>
      <c r="X59" s="2"/>
      <c r="Z59" s="13" t="s">
        <v>55</v>
      </c>
      <c r="AA59" s="78">
        <f>SUMIFS(AE55:AP55,AE55:AP55,"&gt;0")/SUMIFS(AE55:AP55,AE55:AP55,"&lt;0")*-1</f>
        <v>1.9189498079756095</v>
      </c>
      <c r="AR59" s="2"/>
    </row>
    <row r="60" spans="2:44" x14ac:dyDescent="0.25">
      <c r="B60" s="2" t="s"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 t="s">
        <v>0</v>
      </c>
      <c r="X60" s="2"/>
      <c r="Z60" s="26" t="s">
        <v>56</v>
      </c>
      <c r="AA60" s="77">
        <f>SUM(AE55:AP55)</f>
        <v>1704064.0048446015</v>
      </c>
      <c r="AR60" s="2"/>
    </row>
    <row r="61" spans="2:44" x14ac:dyDescent="0.25">
      <c r="X61" s="2"/>
      <c r="AR61" s="2"/>
    </row>
    <row r="62" spans="2:44" x14ac:dyDescent="0.25">
      <c r="X62" s="2"/>
      <c r="Z62" s="4" t="s">
        <v>84</v>
      </c>
      <c r="AR62" s="2"/>
    </row>
    <row r="63" spans="2:44" x14ac:dyDescent="0.25">
      <c r="X63" s="2"/>
      <c r="Z63" s="47" t="s">
        <v>9</v>
      </c>
      <c r="AA63" s="46"/>
      <c r="AB63" s="46"/>
      <c r="AC63" s="82">
        <f>-SUM(AE63:AP63)</f>
        <v>11180.000000000002</v>
      </c>
      <c r="AD63" s="46"/>
      <c r="AE63" s="48">
        <f t="shared" ref="AE63:AP63" si="49">$T$33*-1*(AE10=Start_Date)</f>
        <v>-11180.000000000002</v>
      </c>
      <c r="AF63" s="48">
        <f t="shared" si="49"/>
        <v>0</v>
      </c>
      <c r="AG63" s="48">
        <f t="shared" si="49"/>
        <v>0</v>
      </c>
      <c r="AH63" s="48">
        <f t="shared" si="49"/>
        <v>0</v>
      </c>
      <c r="AI63" s="48">
        <f t="shared" si="49"/>
        <v>0</v>
      </c>
      <c r="AJ63" s="48">
        <f t="shared" si="49"/>
        <v>0</v>
      </c>
      <c r="AK63" s="48">
        <f t="shared" si="49"/>
        <v>0</v>
      </c>
      <c r="AL63" s="48">
        <f t="shared" si="49"/>
        <v>0</v>
      </c>
      <c r="AM63" s="48">
        <f t="shared" si="49"/>
        <v>0</v>
      </c>
      <c r="AN63" s="48">
        <f t="shared" si="49"/>
        <v>0</v>
      </c>
      <c r="AO63" s="48">
        <f t="shared" si="49"/>
        <v>0</v>
      </c>
      <c r="AP63" s="48">
        <f t="shared" si="49"/>
        <v>0</v>
      </c>
      <c r="AR63" s="2"/>
    </row>
    <row r="64" spans="2:44" x14ac:dyDescent="0.25">
      <c r="X64" s="2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R64" s="2"/>
    </row>
    <row r="65" spans="24:44" x14ac:dyDescent="0.25">
      <c r="X65" s="2"/>
      <c r="Z65" s="43" t="s">
        <v>111</v>
      </c>
      <c r="AA65" s="45"/>
      <c r="AB65" s="45"/>
      <c r="AC65" s="45"/>
      <c r="AD65" s="45"/>
      <c r="AE65" s="80">
        <v>0</v>
      </c>
      <c r="AF65" s="44">
        <f>AE69</f>
        <v>1118000.0000000002</v>
      </c>
      <c r="AG65" s="44">
        <f t="shared" ref="AG65:AJ65" si="50">AF69</f>
        <v>1099674.2550281931</v>
      </c>
      <c r="AH65" s="44">
        <f t="shared" si="50"/>
        <v>1080523.8515326546</v>
      </c>
      <c r="AI65" s="44">
        <f t="shared" si="50"/>
        <v>1060511.6798798169</v>
      </c>
      <c r="AJ65" s="44">
        <f t="shared" si="50"/>
        <v>1039598.9605026016</v>
      </c>
      <c r="AK65" s="44">
        <f t="shared" ref="AK65:AP65" si="51">AJ69</f>
        <v>0</v>
      </c>
      <c r="AL65" s="44">
        <f t="shared" si="51"/>
        <v>0</v>
      </c>
      <c r="AM65" s="44">
        <f t="shared" si="51"/>
        <v>0</v>
      </c>
      <c r="AN65" s="44">
        <f t="shared" si="51"/>
        <v>0</v>
      </c>
      <c r="AO65" s="44">
        <f t="shared" si="51"/>
        <v>0</v>
      </c>
      <c r="AP65" s="44">
        <f t="shared" si="51"/>
        <v>0</v>
      </c>
      <c r="AR65" s="2"/>
    </row>
    <row r="66" spans="24:44" x14ac:dyDescent="0.25">
      <c r="X66" s="2"/>
      <c r="Z66" s="25" t="s">
        <v>72</v>
      </c>
      <c r="AA66" s="25"/>
      <c r="AB66" s="25"/>
      <c r="AC66" s="81">
        <f>SUM(AE66:AP66)</f>
        <v>1118000.0000000002</v>
      </c>
      <c r="AD66" s="25"/>
      <c r="AE66" s="41">
        <f t="shared" ref="AE66:AP66" si="52">$T$29*(AE10=Start_Date)</f>
        <v>1118000.0000000002</v>
      </c>
      <c r="AF66" s="41">
        <f t="shared" si="52"/>
        <v>0</v>
      </c>
      <c r="AG66" s="41">
        <f t="shared" si="52"/>
        <v>0</v>
      </c>
      <c r="AH66" s="41">
        <f t="shared" si="52"/>
        <v>0</v>
      </c>
      <c r="AI66" s="41">
        <f t="shared" si="52"/>
        <v>0</v>
      </c>
      <c r="AJ66" s="41">
        <f t="shared" si="52"/>
        <v>0</v>
      </c>
      <c r="AK66" s="41">
        <f t="shared" si="52"/>
        <v>0</v>
      </c>
      <c r="AL66" s="41">
        <f t="shared" si="52"/>
        <v>0</v>
      </c>
      <c r="AM66" s="41">
        <f t="shared" si="52"/>
        <v>0</v>
      </c>
      <c r="AN66" s="41">
        <f t="shared" si="52"/>
        <v>0</v>
      </c>
      <c r="AO66" s="41">
        <f t="shared" si="52"/>
        <v>0</v>
      </c>
      <c r="AP66" s="41">
        <f t="shared" si="52"/>
        <v>0</v>
      </c>
      <c r="AR66" s="2"/>
    </row>
    <row r="67" spans="24:44" x14ac:dyDescent="0.25">
      <c r="X67" s="2"/>
      <c r="Z67" s="25" t="s">
        <v>76</v>
      </c>
      <c r="AA67" s="25"/>
      <c r="AB67" s="25"/>
      <c r="AC67" s="81"/>
      <c r="AD67" s="25"/>
      <c r="AE67" s="41">
        <f t="shared" ref="AE67:AP67" si="53">IFERROR(PPMT($T$27,AE7,$T$30,$T$29),0)*(AE7&lt;=$T$31)</f>
        <v>0</v>
      </c>
      <c r="AF67" s="41">
        <f t="shared" si="53"/>
        <v>-18325.744971807151</v>
      </c>
      <c r="AG67" s="41">
        <f t="shared" si="53"/>
        <v>-19150.40349553847</v>
      </c>
      <c r="AH67" s="41">
        <f t="shared" si="53"/>
        <v>-20012.171652837704</v>
      </c>
      <c r="AI67" s="41">
        <f t="shared" si="53"/>
        <v>-20912.719377215399</v>
      </c>
      <c r="AJ67" s="41">
        <f t="shared" si="53"/>
        <v>-21853.791749190092</v>
      </c>
      <c r="AK67" s="41">
        <f t="shared" si="53"/>
        <v>0</v>
      </c>
      <c r="AL67" s="41">
        <f t="shared" si="53"/>
        <v>0</v>
      </c>
      <c r="AM67" s="41">
        <f t="shared" si="53"/>
        <v>0</v>
      </c>
      <c r="AN67" s="41">
        <f t="shared" si="53"/>
        <v>0</v>
      </c>
      <c r="AO67" s="41">
        <f t="shared" si="53"/>
        <v>0</v>
      </c>
      <c r="AP67" s="41">
        <f t="shared" si="53"/>
        <v>0</v>
      </c>
      <c r="AR67" s="2"/>
    </row>
    <row r="68" spans="24:44" x14ac:dyDescent="0.25">
      <c r="X68" s="2"/>
      <c r="Z68" s="25" t="s">
        <v>73</v>
      </c>
      <c r="AA68" s="25"/>
      <c r="AB68" s="25"/>
      <c r="AC68" s="25"/>
      <c r="AD68" s="25"/>
      <c r="AE68" s="41">
        <f t="shared" ref="AE68:AP68" si="54">-SUM(AE65:AE67)*(AE10=$T$32)</f>
        <v>0</v>
      </c>
      <c r="AF68" s="41">
        <f t="shared" si="54"/>
        <v>0</v>
      </c>
      <c r="AG68" s="41">
        <f t="shared" si="54"/>
        <v>0</v>
      </c>
      <c r="AH68" s="41">
        <f t="shared" si="54"/>
        <v>0</v>
      </c>
      <c r="AI68" s="41">
        <f t="shared" si="54"/>
        <v>0</v>
      </c>
      <c r="AJ68" s="41">
        <f t="shared" si="54"/>
        <v>-1017745.1687534115</v>
      </c>
      <c r="AK68" s="41">
        <f t="shared" si="54"/>
        <v>0</v>
      </c>
      <c r="AL68" s="41">
        <f t="shared" si="54"/>
        <v>0</v>
      </c>
      <c r="AM68" s="41">
        <f t="shared" si="54"/>
        <v>0</v>
      </c>
      <c r="AN68" s="41">
        <f t="shared" si="54"/>
        <v>0</v>
      </c>
      <c r="AO68" s="41">
        <f t="shared" si="54"/>
        <v>0</v>
      </c>
      <c r="AP68" s="41">
        <f t="shared" si="54"/>
        <v>0</v>
      </c>
      <c r="AR68" s="2"/>
    </row>
    <row r="69" spans="24:44" x14ac:dyDescent="0.25">
      <c r="X69" s="2"/>
      <c r="Z69" s="43" t="s">
        <v>112</v>
      </c>
      <c r="AA69" s="45"/>
      <c r="AB69" s="45"/>
      <c r="AC69" s="45"/>
      <c r="AD69" s="45"/>
      <c r="AE69" s="44">
        <f>SUM(AE65:AE68)</f>
        <v>1118000.0000000002</v>
      </c>
      <c r="AF69" s="44">
        <f>SUM(AF65:AF68)</f>
        <v>1099674.2550281931</v>
      </c>
      <c r="AG69" s="44">
        <f t="shared" ref="AG69:AM69" si="55">SUM(AG65:AG68)</f>
        <v>1080523.8515326546</v>
      </c>
      <c r="AH69" s="44">
        <f t="shared" si="55"/>
        <v>1060511.6798798169</v>
      </c>
      <c r="AI69" s="44">
        <f t="shared" si="55"/>
        <v>1039598.9605026016</v>
      </c>
      <c r="AJ69" s="44">
        <f t="shared" si="55"/>
        <v>0</v>
      </c>
      <c r="AK69" s="44">
        <f t="shared" si="55"/>
        <v>0</v>
      </c>
      <c r="AL69" s="44">
        <f t="shared" si="55"/>
        <v>0</v>
      </c>
      <c r="AM69" s="44">
        <f t="shared" si="55"/>
        <v>0</v>
      </c>
      <c r="AN69" s="44">
        <f t="shared" ref="AN69" si="56">SUM(AN65:AN68)</f>
        <v>0</v>
      </c>
      <c r="AO69" s="44">
        <f t="shared" ref="AO69" si="57">SUM(AO65:AO68)</f>
        <v>0</v>
      </c>
      <c r="AP69" s="44">
        <f t="shared" ref="AP69" si="58">SUM(AP65:AP68)</f>
        <v>0</v>
      </c>
      <c r="AR69" s="2"/>
    </row>
    <row r="70" spans="24:44" x14ac:dyDescent="0.25">
      <c r="X70" s="2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R70" s="2"/>
    </row>
    <row r="71" spans="24:44" x14ac:dyDescent="0.25">
      <c r="X71" s="2"/>
      <c r="Z71" s="47" t="s">
        <v>74</v>
      </c>
      <c r="AA71" s="46"/>
      <c r="AB71" s="46"/>
      <c r="AC71" s="82"/>
      <c r="AD71" s="46"/>
      <c r="AE71" s="48">
        <f>AE65*-1*$T$27</f>
        <v>0</v>
      </c>
      <c r="AF71" s="48">
        <f t="shared" ref="AF71:AP71" si="59">AF65*-1*$T$27</f>
        <v>-50310.000000000007</v>
      </c>
      <c r="AG71" s="48">
        <f t="shared" si="59"/>
        <v>-49485.341476268688</v>
      </c>
      <c r="AH71" s="48">
        <f t="shared" si="59"/>
        <v>-48623.573318969458</v>
      </c>
      <c r="AI71" s="48">
        <f t="shared" si="59"/>
        <v>-47723.02559459176</v>
      </c>
      <c r="AJ71" s="48">
        <f t="shared" si="59"/>
        <v>-46781.95322261707</v>
      </c>
      <c r="AK71" s="48">
        <f t="shared" si="59"/>
        <v>0</v>
      </c>
      <c r="AL71" s="48">
        <f t="shared" si="59"/>
        <v>0</v>
      </c>
      <c r="AM71" s="48">
        <f t="shared" si="59"/>
        <v>0</v>
      </c>
      <c r="AN71" s="48">
        <f t="shared" si="59"/>
        <v>0</v>
      </c>
      <c r="AO71" s="48">
        <f t="shared" si="59"/>
        <v>0</v>
      </c>
      <c r="AP71" s="48">
        <f t="shared" si="59"/>
        <v>0</v>
      </c>
      <c r="AR71" s="2"/>
    </row>
    <row r="72" spans="24:44" x14ac:dyDescent="0.25">
      <c r="X72" s="2"/>
      <c r="AR72" s="2"/>
    </row>
    <row r="73" spans="24:44" x14ac:dyDescent="0.25">
      <c r="X73" s="2"/>
      <c r="Z73" s="4" t="s">
        <v>23</v>
      </c>
      <c r="AR73" s="2"/>
    </row>
    <row r="74" spans="24:44" x14ac:dyDescent="0.25">
      <c r="X74" s="2"/>
      <c r="Z74" s="47" t="s">
        <v>9</v>
      </c>
      <c r="AA74" s="46"/>
      <c r="AB74" s="46"/>
      <c r="AC74" s="82">
        <f>-SUM(AE74:AP74)</f>
        <v>0</v>
      </c>
      <c r="AD74" s="46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R74" s="2"/>
    </row>
    <row r="75" spans="24:44" x14ac:dyDescent="0.25">
      <c r="X75" s="2"/>
      <c r="AR75" s="2"/>
    </row>
    <row r="76" spans="24:44" x14ac:dyDescent="0.25">
      <c r="X76" s="2"/>
      <c r="Z76" s="43" t="s">
        <v>111</v>
      </c>
      <c r="AA76" s="45"/>
      <c r="AB76" s="45"/>
      <c r="AC76" s="45"/>
      <c r="AD76" s="45"/>
      <c r="AE76" s="80">
        <v>0</v>
      </c>
      <c r="AF76" s="44">
        <f>AE80</f>
        <v>0</v>
      </c>
      <c r="AG76" s="44">
        <f t="shared" ref="AG76:AI76" si="60">AF80</f>
        <v>0</v>
      </c>
      <c r="AH76" s="44">
        <f t="shared" si="60"/>
        <v>0</v>
      </c>
      <c r="AI76" s="44">
        <f t="shared" si="60"/>
        <v>0</v>
      </c>
      <c r="AJ76" s="44">
        <f t="shared" ref="AJ76:AP76" si="61">AI80</f>
        <v>0</v>
      </c>
      <c r="AK76" s="44">
        <f t="shared" si="61"/>
        <v>0</v>
      </c>
      <c r="AL76" s="44">
        <f t="shared" si="61"/>
        <v>0</v>
      </c>
      <c r="AM76" s="44">
        <f t="shared" si="61"/>
        <v>0</v>
      </c>
      <c r="AN76" s="44">
        <f t="shared" si="61"/>
        <v>0</v>
      </c>
      <c r="AO76" s="44">
        <f t="shared" si="61"/>
        <v>0</v>
      </c>
      <c r="AP76" s="44">
        <f t="shared" si="61"/>
        <v>0</v>
      </c>
      <c r="AR76" s="2"/>
    </row>
    <row r="77" spans="24:44" x14ac:dyDescent="0.25">
      <c r="X77" s="2"/>
      <c r="Z77" s="25" t="s">
        <v>72</v>
      </c>
      <c r="AA77" s="25"/>
      <c r="AB77" s="25"/>
      <c r="AC77" s="81">
        <f>SUM(AE77:AP77)</f>
        <v>1891096.7216247967</v>
      </c>
      <c r="AD77" s="25"/>
      <c r="AE77" s="41">
        <f t="shared" ref="AE77:AP77" si="62">$T$40*(AE10=$S$42)</f>
        <v>0</v>
      </c>
      <c r="AF77" s="41">
        <f t="shared" si="62"/>
        <v>0</v>
      </c>
      <c r="AG77" s="41">
        <f t="shared" si="62"/>
        <v>0</v>
      </c>
      <c r="AH77" s="41">
        <f t="shared" si="62"/>
        <v>0</v>
      </c>
      <c r="AI77" s="41">
        <f t="shared" si="62"/>
        <v>0</v>
      </c>
      <c r="AJ77" s="41">
        <f t="shared" si="62"/>
        <v>1891096.7216247967</v>
      </c>
      <c r="AK77" s="41">
        <f t="shared" si="62"/>
        <v>0</v>
      </c>
      <c r="AL77" s="41">
        <f t="shared" si="62"/>
        <v>0</v>
      </c>
      <c r="AM77" s="41">
        <f t="shared" si="62"/>
        <v>0</v>
      </c>
      <c r="AN77" s="41">
        <f t="shared" si="62"/>
        <v>0</v>
      </c>
      <c r="AO77" s="41">
        <f t="shared" si="62"/>
        <v>0</v>
      </c>
      <c r="AP77" s="41">
        <f t="shared" si="62"/>
        <v>0</v>
      </c>
      <c r="AR77" s="2"/>
    </row>
    <row r="78" spans="24:44" x14ac:dyDescent="0.25">
      <c r="X78" s="2"/>
      <c r="Z78" s="25" t="s">
        <v>76</v>
      </c>
      <c r="AA78" s="25"/>
      <c r="AB78" s="25"/>
      <c r="AC78" s="25"/>
      <c r="AD78" s="25"/>
      <c r="AE78" s="41">
        <f t="shared" ref="AE78:AP78" si="63">IFERROR(PPMT($T$35,AE7-$T$31,$T$41,$AC$77),0)*(AE10&lt;=End_Date)</f>
        <v>0</v>
      </c>
      <c r="AF78" s="41">
        <f t="shared" si="63"/>
        <v>0</v>
      </c>
      <c r="AG78" s="41">
        <f t="shared" si="63"/>
        <v>0</v>
      </c>
      <c r="AH78" s="41">
        <f t="shared" si="63"/>
        <v>0</v>
      </c>
      <c r="AI78" s="41">
        <f t="shared" si="63"/>
        <v>0</v>
      </c>
      <c r="AJ78" s="41">
        <f t="shared" si="63"/>
        <v>0</v>
      </c>
      <c r="AK78" s="41">
        <f t="shared" si="63"/>
        <v>0</v>
      </c>
      <c r="AL78" s="41">
        <f t="shared" si="63"/>
        <v>0</v>
      </c>
      <c r="AM78" s="41">
        <f t="shared" si="63"/>
        <v>0</v>
      </c>
      <c r="AN78" s="41">
        <f t="shared" si="63"/>
        <v>0</v>
      </c>
      <c r="AO78" s="41">
        <f t="shared" si="63"/>
        <v>0</v>
      </c>
      <c r="AP78" s="41">
        <f t="shared" si="63"/>
        <v>0</v>
      </c>
      <c r="AR78" s="2"/>
    </row>
    <row r="79" spans="24:44" x14ac:dyDescent="0.25">
      <c r="X79" s="2"/>
      <c r="Z79" s="25" t="s">
        <v>75</v>
      </c>
      <c r="AA79" s="25"/>
      <c r="AB79" s="25"/>
      <c r="AC79" s="25"/>
      <c r="AD79" s="25"/>
      <c r="AE79" s="41">
        <f t="shared" ref="AE79:AP79" si="64">-SUM(AE76:AE78)*(AE10=End_Date)</f>
        <v>0</v>
      </c>
      <c r="AF79" s="41">
        <f t="shared" si="64"/>
        <v>0</v>
      </c>
      <c r="AG79" s="41">
        <f t="shared" si="64"/>
        <v>0</v>
      </c>
      <c r="AH79" s="41">
        <f t="shared" si="64"/>
        <v>0</v>
      </c>
      <c r="AI79" s="41">
        <f t="shared" si="64"/>
        <v>0</v>
      </c>
      <c r="AJ79" s="41">
        <f t="shared" si="64"/>
        <v>-1891096.7216247967</v>
      </c>
      <c r="AK79" s="41">
        <f t="shared" si="64"/>
        <v>0</v>
      </c>
      <c r="AL79" s="41">
        <f t="shared" si="64"/>
        <v>0</v>
      </c>
      <c r="AM79" s="41">
        <f t="shared" si="64"/>
        <v>0</v>
      </c>
      <c r="AN79" s="41">
        <f t="shared" si="64"/>
        <v>0</v>
      </c>
      <c r="AO79" s="41">
        <f t="shared" si="64"/>
        <v>0</v>
      </c>
      <c r="AP79" s="41">
        <f t="shared" si="64"/>
        <v>0</v>
      </c>
      <c r="AR79" s="2"/>
    </row>
    <row r="80" spans="24:44" x14ac:dyDescent="0.25">
      <c r="X80" s="2"/>
      <c r="Z80" s="43" t="s">
        <v>112</v>
      </c>
      <c r="AA80" s="45"/>
      <c r="AB80" s="45"/>
      <c r="AC80" s="45"/>
      <c r="AD80" s="45"/>
      <c r="AE80" s="44">
        <f>SUM(AE76:AE79)</f>
        <v>0</v>
      </c>
      <c r="AF80" s="44">
        <f t="shared" ref="AF80:AP80" si="65">SUM(AF76:AF79)</f>
        <v>0</v>
      </c>
      <c r="AG80" s="44">
        <f t="shared" si="65"/>
        <v>0</v>
      </c>
      <c r="AH80" s="44">
        <f t="shared" si="65"/>
        <v>0</v>
      </c>
      <c r="AI80" s="44">
        <f t="shared" si="65"/>
        <v>0</v>
      </c>
      <c r="AJ80" s="44">
        <f t="shared" si="65"/>
        <v>0</v>
      </c>
      <c r="AK80" s="44">
        <f t="shared" si="65"/>
        <v>0</v>
      </c>
      <c r="AL80" s="44">
        <f t="shared" si="65"/>
        <v>0</v>
      </c>
      <c r="AM80" s="44">
        <f t="shared" si="65"/>
        <v>0</v>
      </c>
      <c r="AN80" s="44">
        <f t="shared" si="65"/>
        <v>0</v>
      </c>
      <c r="AO80" s="44">
        <f t="shared" si="65"/>
        <v>0</v>
      </c>
      <c r="AP80" s="44">
        <f t="shared" si="65"/>
        <v>0</v>
      </c>
      <c r="AR80" s="2"/>
    </row>
    <row r="81" spans="24:44" x14ac:dyDescent="0.25">
      <c r="X81" s="2"/>
      <c r="AR81" s="2"/>
    </row>
    <row r="82" spans="24:44" x14ac:dyDescent="0.25">
      <c r="X82" s="2"/>
      <c r="Z82" s="47" t="s">
        <v>74</v>
      </c>
      <c r="AA82" s="46"/>
      <c r="AB82" s="46"/>
      <c r="AC82" s="46"/>
      <c r="AD82" s="46"/>
      <c r="AE82" s="84">
        <f>AE76*-1*$T$35</f>
        <v>0</v>
      </c>
      <c r="AF82" s="84">
        <f t="shared" ref="AF82:AP82" si="66">AF76*-1*$T$35</f>
        <v>0</v>
      </c>
      <c r="AG82" s="84">
        <f t="shared" si="66"/>
        <v>0</v>
      </c>
      <c r="AH82" s="84">
        <f t="shared" si="66"/>
        <v>0</v>
      </c>
      <c r="AI82" s="84">
        <f t="shared" si="66"/>
        <v>0</v>
      </c>
      <c r="AJ82" s="84">
        <f t="shared" si="66"/>
        <v>0</v>
      </c>
      <c r="AK82" s="84">
        <f t="shared" si="66"/>
        <v>0</v>
      </c>
      <c r="AL82" s="84">
        <f t="shared" si="66"/>
        <v>0</v>
      </c>
      <c r="AM82" s="84">
        <f t="shared" si="66"/>
        <v>0</v>
      </c>
      <c r="AN82" s="84">
        <f t="shared" si="66"/>
        <v>0</v>
      </c>
      <c r="AO82" s="84">
        <f t="shared" si="66"/>
        <v>0</v>
      </c>
      <c r="AP82" s="84">
        <f t="shared" si="66"/>
        <v>0</v>
      </c>
      <c r="AR82" s="2"/>
    </row>
    <row r="83" spans="24:44" x14ac:dyDescent="0.25">
      <c r="X83" s="2"/>
      <c r="AR83" s="2"/>
    </row>
    <row r="84" spans="24:44" x14ac:dyDescent="0.25">
      <c r="X84" s="2"/>
      <c r="Z84" s="49" t="s">
        <v>77</v>
      </c>
      <c r="AA84" s="49"/>
      <c r="AB84" s="49"/>
      <c r="AC84" s="85">
        <f>SUMIFS(AE84:AP84,AE84:AP84,"&lt;0")*-1</f>
        <v>747539.99999999977</v>
      </c>
      <c r="AD84" s="49"/>
      <c r="AE84" s="50">
        <f t="shared" ref="AE84:AP84" si="67">SUM(AE33,AE63,AE66,AE68,AE71,AE74,AE77,AE78,AE79,AE82)</f>
        <v>-747539.99999999977</v>
      </c>
      <c r="AF84" s="50">
        <f>SUM(AF33,AF63,AF66,AF68,AF71,AF74,AF77,AF78,AF79,AF82)</f>
        <v>51359.947997230607</v>
      </c>
      <c r="AG84" s="50">
        <f t="shared" si="67"/>
        <v>64781.948964274707</v>
      </c>
      <c r="AH84" s="50">
        <f t="shared" si="67"/>
        <v>80757.155275852696</v>
      </c>
      <c r="AI84" s="50">
        <f t="shared" si="67"/>
        <v>100930.11562856437</v>
      </c>
      <c r="AJ84" s="50">
        <f t="shared" si="67"/>
        <v>1999926.0446128207</v>
      </c>
      <c r="AK84" s="50">
        <f t="shared" si="67"/>
        <v>0</v>
      </c>
      <c r="AL84" s="50">
        <f t="shared" si="67"/>
        <v>0</v>
      </c>
      <c r="AM84" s="50">
        <f t="shared" si="67"/>
        <v>0</v>
      </c>
      <c r="AN84" s="50">
        <f t="shared" si="67"/>
        <v>0</v>
      </c>
      <c r="AO84" s="50">
        <f t="shared" si="67"/>
        <v>0</v>
      </c>
      <c r="AP84" s="50">
        <f t="shared" si="67"/>
        <v>0</v>
      </c>
      <c r="AR84" s="2"/>
    </row>
    <row r="85" spans="24:44" x14ac:dyDescent="0.25">
      <c r="X85" s="2"/>
      <c r="AR85" s="2"/>
    </row>
    <row r="86" spans="24:44" x14ac:dyDescent="0.25">
      <c r="X86" s="2"/>
      <c r="Z86" s="4" t="s">
        <v>40</v>
      </c>
      <c r="AR86" s="2"/>
    </row>
    <row r="87" spans="24:44" x14ac:dyDescent="0.25">
      <c r="X87" s="2"/>
      <c r="Z87" s="43" t="s">
        <v>111</v>
      </c>
      <c r="AA87" s="45"/>
      <c r="AB87" s="45"/>
      <c r="AC87" s="45"/>
      <c r="AD87" s="45"/>
      <c r="AE87" s="80">
        <v>0</v>
      </c>
      <c r="AF87" s="44">
        <f>AE91</f>
        <v>0</v>
      </c>
      <c r="AG87" s="44">
        <f t="shared" ref="AG87:AH87" si="68">AF91</f>
        <v>0</v>
      </c>
      <c r="AH87" s="44">
        <f t="shared" si="68"/>
        <v>0</v>
      </c>
      <c r="AI87" s="44">
        <f t="shared" ref="AI87:AP87" si="69">AH91</f>
        <v>0</v>
      </c>
      <c r="AJ87" s="44">
        <f t="shared" si="69"/>
        <v>0</v>
      </c>
      <c r="AK87" s="44">
        <f t="shared" si="69"/>
        <v>0</v>
      </c>
      <c r="AL87" s="44">
        <f t="shared" si="69"/>
        <v>0</v>
      </c>
      <c r="AM87" s="44">
        <f t="shared" si="69"/>
        <v>0</v>
      </c>
      <c r="AN87" s="44">
        <f t="shared" si="69"/>
        <v>0</v>
      </c>
      <c r="AO87" s="44">
        <f t="shared" si="69"/>
        <v>0</v>
      </c>
      <c r="AP87" s="44">
        <f t="shared" si="69"/>
        <v>0</v>
      </c>
      <c r="AR87" s="2"/>
    </row>
    <row r="88" spans="24:44" x14ac:dyDescent="0.25">
      <c r="X88" s="2"/>
      <c r="Z88" s="25" t="s">
        <v>72</v>
      </c>
      <c r="AA88" s="25"/>
      <c r="AB88" s="25"/>
      <c r="AC88" s="81">
        <f>SUM(AE88:AP88)</f>
        <v>0</v>
      </c>
      <c r="AD88" s="25"/>
      <c r="AE88" s="41">
        <f>-SUM(AE48:AE49)*$T$46</f>
        <v>0</v>
      </c>
      <c r="AF88" s="41">
        <f t="shared" ref="AF88:AP88" si="70">-SUM(AF48:AF49)*$T$46</f>
        <v>0</v>
      </c>
      <c r="AG88" s="41">
        <f t="shared" si="70"/>
        <v>0</v>
      </c>
      <c r="AH88" s="41">
        <f t="shared" si="70"/>
        <v>0</v>
      </c>
      <c r="AI88" s="41">
        <f t="shared" si="70"/>
        <v>0</v>
      </c>
      <c r="AJ88" s="41">
        <f t="shared" si="70"/>
        <v>0</v>
      </c>
      <c r="AK88" s="41">
        <f t="shared" si="70"/>
        <v>0</v>
      </c>
      <c r="AL88" s="41">
        <f t="shared" si="70"/>
        <v>0</v>
      </c>
      <c r="AM88" s="41">
        <f t="shared" si="70"/>
        <v>0</v>
      </c>
      <c r="AN88" s="41">
        <f t="shared" si="70"/>
        <v>0</v>
      </c>
      <c r="AO88" s="41">
        <f t="shared" si="70"/>
        <v>0</v>
      </c>
      <c r="AP88" s="41">
        <f t="shared" si="70"/>
        <v>0</v>
      </c>
      <c r="AR88" s="2"/>
    </row>
    <row r="89" spans="24:44" x14ac:dyDescent="0.25">
      <c r="X89" s="2"/>
      <c r="Z89" s="25" t="s">
        <v>76</v>
      </c>
      <c r="AA89" s="25"/>
      <c r="AB89" s="25"/>
      <c r="AC89" s="25"/>
      <c r="AD89" s="25"/>
      <c r="AE89" s="41">
        <f>IFERROR(PPMT($T$45,AE7,$T$48,SUM($AE$88:AE88)),0)*(AE10&lt;=End_Date)</f>
        <v>0</v>
      </c>
      <c r="AF89" s="41">
        <f>IFERROR(PPMT($T$45,AF7,$T$48,SUM($AE$88:AF88)),0)*(AF10&lt;=End_Date)</f>
        <v>0</v>
      </c>
      <c r="AG89" s="41">
        <f>IFERROR(PPMT($T$45,AG7,$T$48,SUM($AE$88:AG88)),0)*(AG10&lt;=End_Date)</f>
        <v>0</v>
      </c>
      <c r="AH89" s="41">
        <f>IFERROR(PPMT($T$45,AH7,$T$48,SUM($AE$88:AH88)),0)*(AH10&lt;=End_Date)</f>
        <v>0</v>
      </c>
      <c r="AI89" s="41">
        <f>IFERROR(PPMT($T$45,AI7,$T$48,SUM($AE$88:AI88)),0)*(AI10&lt;=End_Date)</f>
        <v>0</v>
      </c>
      <c r="AJ89" s="41">
        <f>IFERROR(PPMT($T$45,AJ7,$T$48,SUM($AE$88:AJ88)),0)*(AJ10&lt;=End_Date)</f>
        <v>0</v>
      </c>
      <c r="AK89" s="41">
        <f>IFERROR(PPMT($T$45,AK7,$T$48,SUM($AE$88:AK88)),0)*(AK10&lt;=End_Date)</f>
        <v>0</v>
      </c>
      <c r="AL89" s="41">
        <f>IFERROR(PPMT($T$45,AL7,$T$48,SUM($AE$88:AL88)),0)*(AL10&lt;=End_Date)</f>
        <v>0</v>
      </c>
      <c r="AM89" s="41">
        <f>IFERROR(PPMT($T$45,AM7,$T$48,SUM($AE$88:AM88)),0)*(AM10&lt;=End_Date)</f>
        <v>0</v>
      </c>
      <c r="AN89" s="41">
        <f>IFERROR(PPMT($T$45,AN7,$T$48,SUM($AE$88:AN88)),0)*(AN10&lt;=End_Date)</f>
        <v>0</v>
      </c>
      <c r="AO89" s="41">
        <f>IFERROR(PPMT($T$45,AO7,$T$48,SUM($AE$88:AO88)),0)*(AO10&lt;=End_Date)</f>
        <v>0</v>
      </c>
      <c r="AP89" s="41">
        <f>IFERROR(PPMT($T$45,AP7,$T$48,SUM($AE$88:AP88)),0)*(AP10&lt;=End_Date)</f>
        <v>0</v>
      </c>
      <c r="AR89" s="2"/>
    </row>
    <row r="90" spans="24:44" x14ac:dyDescent="0.25">
      <c r="X90" s="2"/>
      <c r="Z90" s="25" t="s">
        <v>75</v>
      </c>
      <c r="AA90" s="25"/>
      <c r="AB90" s="25"/>
      <c r="AC90" s="25"/>
      <c r="AD90" s="25"/>
      <c r="AE90" s="41">
        <f t="shared" ref="AE90:AP90" si="71">-SUM(AE87:AE89)*(AE10=End_Date)</f>
        <v>0</v>
      </c>
      <c r="AF90" s="41">
        <f t="shared" si="71"/>
        <v>0</v>
      </c>
      <c r="AG90" s="41">
        <f t="shared" si="71"/>
        <v>0</v>
      </c>
      <c r="AH90" s="41">
        <f t="shared" si="71"/>
        <v>0</v>
      </c>
      <c r="AI90" s="41">
        <f t="shared" si="71"/>
        <v>0</v>
      </c>
      <c r="AJ90" s="41">
        <f t="shared" si="71"/>
        <v>0</v>
      </c>
      <c r="AK90" s="41">
        <f t="shared" si="71"/>
        <v>0</v>
      </c>
      <c r="AL90" s="41">
        <f t="shared" si="71"/>
        <v>0</v>
      </c>
      <c r="AM90" s="41">
        <f t="shared" si="71"/>
        <v>0</v>
      </c>
      <c r="AN90" s="41">
        <f t="shared" si="71"/>
        <v>0</v>
      </c>
      <c r="AO90" s="41">
        <f t="shared" si="71"/>
        <v>0</v>
      </c>
      <c r="AP90" s="41">
        <f t="shared" si="71"/>
        <v>0</v>
      </c>
      <c r="AR90" s="2"/>
    </row>
    <row r="91" spans="24:44" x14ac:dyDescent="0.25">
      <c r="X91" s="2"/>
      <c r="Z91" s="43" t="s">
        <v>112</v>
      </c>
      <c r="AA91" s="45"/>
      <c r="AB91" s="45"/>
      <c r="AC91" s="45"/>
      <c r="AD91" s="45"/>
      <c r="AE91" s="44">
        <f>SUM(AE87:AE90)</f>
        <v>0</v>
      </c>
      <c r="AF91" s="44">
        <f t="shared" ref="AF91:AP91" si="72">SUM(AF87:AF90)</f>
        <v>0</v>
      </c>
      <c r="AG91" s="44">
        <f t="shared" si="72"/>
        <v>0</v>
      </c>
      <c r="AH91" s="44">
        <f t="shared" si="72"/>
        <v>0</v>
      </c>
      <c r="AI91" s="44">
        <f t="shared" si="72"/>
        <v>0</v>
      </c>
      <c r="AJ91" s="44">
        <f t="shared" si="72"/>
        <v>0</v>
      </c>
      <c r="AK91" s="44">
        <f t="shared" si="72"/>
        <v>0</v>
      </c>
      <c r="AL91" s="44">
        <f t="shared" si="72"/>
        <v>0</v>
      </c>
      <c r="AM91" s="44">
        <f t="shared" si="72"/>
        <v>0</v>
      </c>
      <c r="AN91" s="44">
        <f t="shared" si="72"/>
        <v>0</v>
      </c>
      <c r="AO91" s="44">
        <f t="shared" si="72"/>
        <v>0</v>
      </c>
      <c r="AP91" s="44">
        <f t="shared" si="72"/>
        <v>0</v>
      </c>
      <c r="AR91" s="2"/>
    </row>
    <row r="92" spans="24:44" x14ac:dyDescent="0.25">
      <c r="X92" s="2"/>
      <c r="AR92" s="2"/>
    </row>
    <row r="93" spans="24:44" x14ac:dyDescent="0.25">
      <c r="X93" s="2"/>
      <c r="Z93" s="47" t="s">
        <v>74</v>
      </c>
      <c r="AA93" s="46"/>
      <c r="AB93" s="46"/>
      <c r="AC93" s="46"/>
      <c r="AD93" s="46"/>
      <c r="AE93" s="84">
        <f>AE87*-1*$T$45</f>
        <v>0</v>
      </c>
      <c r="AF93" s="84">
        <f t="shared" ref="AF93:AP93" si="73">AF87*-1*$T$45</f>
        <v>0</v>
      </c>
      <c r="AG93" s="84">
        <f t="shared" si="73"/>
        <v>0</v>
      </c>
      <c r="AH93" s="84">
        <f t="shared" si="73"/>
        <v>0</v>
      </c>
      <c r="AI93" s="84">
        <f t="shared" si="73"/>
        <v>0</v>
      </c>
      <c r="AJ93" s="84">
        <f t="shared" si="73"/>
        <v>0</v>
      </c>
      <c r="AK93" s="84">
        <f t="shared" si="73"/>
        <v>0</v>
      </c>
      <c r="AL93" s="84">
        <f t="shared" si="73"/>
        <v>0</v>
      </c>
      <c r="AM93" s="84">
        <f t="shared" si="73"/>
        <v>0</v>
      </c>
      <c r="AN93" s="84">
        <f t="shared" si="73"/>
        <v>0</v>
      </c>
      <c r="AO93" s="84">
        <f t="shared" si="73"/>
        <v>0</v>
      </c>
      <c r="AP93" s="84">
        <f t="shared" si="73"/>
        <v>0</v>
      </c>
      <c r="AR93" s="2"/>
    </row>
    <row r="94" spans="24:44" x14ac:dyDescent="0.25">
      <c r="X94" s="2"/>
      <c r="AR94" s="2"/>
    </row>
    <row r="95" spans="24:44" x14ac:dyDescent="0.25">
      <c r="X95" s="2"/>
      <c r="Z95" s="49" t="s">
        <v>99</v>
      </c>
      <c r="AA95" s="49"/>
      <c r="AB95" s="49"/>
      <c r="AC95" s="85">
        <f>SUMIFS(AE95:AP95,AE95:AP95,"&lt;0")*-1</f>
        <v>0.27</v>
      </c>
      <c r="AD95" s="49"/>
      <c r="AE95" s="50">
        <f t="shared" ref="AE95:AP95" si="74">SUM(AE53,AE88,AE89,AE90,AE93)</f>
        <v>-0.26</v>
      </c>
      <c r="AF95" s="50">
        <f t="shared" si="74"/>
        <v>-1.0000000000000009E-2</v>
      </c>
      <c r="AG95" s="50">
        <f t="shared" si="74"/>
        <v>0</v>
      </c>
      <c r="AH95" s="50">
        <f t="shared" si="74"/>
        <v>0</v>
      </c>
      <c r="AI95" s="50">
        <f t="shared" si="74"/>
        <v>0</v>
      </c>
      <c r="AJ95" s="50">
        <f t="shared" si="74"/>
        <v>0</v>
      </c>
      <c r="AK95" s="50">
        <f t="shared" si="74"/>
        <v>0</v>
      </c>
      <c r="AL95" s="50">
        <f t="shared" si="74"/>
        <v>0</v>
      </c>
      <c r="AM95" s="50">
        <f t="shared" si="74"/>
        <v>0</v>
      </c>
      <c r="AN95" s="50">
        <f t="shared" si="74"/>
        <v>0</v>
      </c>
      <c r="AO95" s="50">
        <f t="shared" si="74"/>
        <v>0</v>
      </c>
      <c r="AP95" s="50">
        <f t="shared" si="74"/>
        <v>0</v>
      </c>
      <c r="AR95" s="2"/>
    </row>
    <row r="96" spans="24:44" x14ac:dyDescent="0.25">
      <c r="X96" s="2"/>
      <c r="AR96" s="2"/>
    </row>
    <row r="97" spans="24:44" x14ac:dyDescent="0.25">
      <c r="X97" s="2"/>
      <c r="Z97" s="49" t="s">
        <v>78</v>
      </c>
      <c r="AA97" s="49"/>
      <c r="AB97" s="49"/>
      <c r="AC97" s="85">
        <f>SUMIFS(AE97:AP97,AE97:AP97,"&lt;0")*-1</f>
        <v>747540.25999999978</v>
      </c>
      <c r="AD97" s="49"/>
      <c r="AE97" s="50">
        <f t="shared" ref="AE97:AP97" si="75">AE95+AE84</f>
        <v>-747540.25999999978</v>
      </c>
      <c r="AF97" s="50">
        <f t="shared" si="75"/>
        <v>51359.937997230605</v>
      </c>
      <c r="AG97" s="50">
        <f t="shared" si="75"/>
        <v>64781.948964274707</v>
      </c>
      <c r="AH97" s="50">
        <f t="shared" si="75"/>
        <v>80757.155275852696</v>
      </c>
      <c r="AI97" s="50">
        <f t="shared" si="75"/>
        <v>100930.11562856437</v>
      </c>
      <c r="AJ97" s="50">
        <f t="shared" si="75"/>
        <v>1999926.0446128207</v>
      </c>
      <c r="AK97" s="50">
        <f t="shared" si="75"/>
        <v>0</v>
      </c>
      <c r="AL97" s="50">
        <f t="shared" si="75"/>
        <v>0</v>
      </c>
      <c r="AM97" s="50">
        <f t="shared" si="75"/>
        <v>0</v>
      </c>
      <c r="AN97" s="50">
        <f t="shared" si="75"/>
        <v>0</v>
      </c>
      <c r="AO97" s="50">
        <f t="shared" si="75"/>
        <v>0</v>
      </c>
      <c r="AP97" s="50">
        <f t="shared" si="75"/>
        <v>0</v>
      </c>
      <c r="AR97" s="2"/>
    </row>
    <row r="98" spans="24:44" x14ac:dyDescent="0.25">
      <c r="X98" s="2"/>
      <c r="AR98" s="2"/>
    </row>
    <row r="99" spans="24:44" x14ac:dyDescent="0.25">
      <c r="X99" s="2"/>
      <c r="Z99" s="16" t="s">
        <v>79</v>
      </c>
      <c r="AA99" s="52"/>
      <c r="AR99" s="2"/>
    </row>
    <row r="100" spans="24:44" x14ac:dyDescent="0.25">
      <c r="X100" s="2"/>
      <c r="Z100" s="13" t="s">
        <v>54</v>
      </c>
      <c r="AA100" s="76">
        <f>IRR(AE97:AP97)</f>
        <v>0.27625897760515183</v>
      </c>
      <c r="AR100" s="2"/>
    </row>
    <row r="101" spans="24:44" x14ac:dyDescent="0.25">
      <c r="X101" s="2"/>
      <c r="Z101" s="13" t="s">
        <v>55</v>
      </c>
      <c r="AA101" s="78">
        <f>SUMIFS(AE97:AP97,AE97:AP97,"&gt;0")/SUMIFS(AE97:AP97,AE97:AP97,"&lt;0")*-1</f>
        <v>3.0737544523404585</v>
      </c>
      <c r="AR101" s="2"/>
    </row>
    <row r="102" spans="24:44" x14ac:dyDescent="0.25">
      <c r="X102" s="2"/>
      <c r="Z102" s="26" t="s">
        <v>56</v>
      </c>
      <c r="AA102" s="77">
        <f>SUM(AE97:AP97)</f>
        <v>1550214.9424787434</v>
      </c>
      <c r="AR102" s="2"/>
    </row>
    <row r="103" spans="24:44" x14ac:dyDescent="0.25">
      <c r="X103" s="2"/>
      <c r="AR103" s="2"/>
    </row>
    <row r="104" spans="24:44" x14ac:dyDescent="0.25">
      <c r="X104" s="2" t="s">
        <v>0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 t="s">
        <v>0</v>
      </c>
    </row>
  </sheetData>
  <printOptions horizontalCentered="1"/>
  <pageMargins left="0.1" right="0.1" top="0.1" bottom="0.1" header="0.25" footer="0.25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DBD2-4717-4441-B74B-8CDA56EC9D90}">
  <sheetPr>
    <pageSetUpPr fitToPage="1"/>
  </sheetPr>
  <dimension ref="B2:V104"/>
  <sheetViews>
    <sheetView showGridLines="0" view="pageBreakPreview" zoomScale="85" zoomScaleNormal="100" zoomScaleSheetLayoutView="85" workbookViewId="0"/>
  </sheetViews>
  <sheetFormatPr defaultRowHeight="15" x14ac:dyDescent="0.25"/>
  <cols>
    <col min="2" max="3" width="1.7109375" customWidth="1"/>
    <col min="4" max="4" width="25.7109375" customWidth="1"/>
    <col min="5" max="8" width="12.7109375" customWidth="1"/>
    <col min="9" max="20" width="15.7109375" customWidth="1"/>
    <col min="21" max="22" width="1.7109375" customWidth="1"/>
  </cols>
  <sheetData>
    <row r="2" spans="2:22" x14ac:dyDescent="0.25">
      <c r="B2" s="2" t="str">
        <f>'Transaction Overview'!X2</f>
        <v>x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tr">
        <f>'Transaction Overview'!AR2</f>
        <v>x</v>
      </c>
    </row>
    <row r="3" spans="2:22" x14ac:dyDescent="0.25">
      <c r="B3" s="2"/>
      <c r="C3" s="3">
        <f>'Transaction Overview'!Y3</f>
        <v>0</v>
      </c>
      <c r="D3" s="3">
        <f>'Transaction Overview'!Z3</f>
        <v>0</v>
      </c>
      <c r="E3" s="3">
        <f>'Transaction Overview'!AA3</f>
        <v>0</v>
      </c>
      <c r="F3" s="3">
        <f>'Transaction Overview'!AB3</f>
        <v>0</v>
      </c>
      <c r="G3" s="3">
        <f>'Transaction Overview'!AC3</f>
        <v>0</v>
      </c>
      <c r="H3" s="3">
        <f>'Transaction Overview'!AD3</f>
        <v>0</v>
      </c>
      <c r="I3" s="3">
        <f>'Transaction Overview'!AE3</f>
        <v>0</v>
      </c>
      <c r="J3" s="3">
        <f>'Transaction Overview'!AF3</f>
        <v>0</v>
      </c>
      <c r="K3" s="3">
        <f>'Transaction Overview'!AG3</f>
        <v>0</v>
      </c>
      <c r="L3" s="3">
        <f>'Transaction Overview'!AH3</f>
        <v>0</v>
      </c>
      <c r="M3" s="3">
        <f>'Transaction Overview'!AI3</f>
        <v>0</v>
      </c>
      <c r="N3" s="3">
        <f>'Transaction Overview'!AJ3</f>
        <v>0</v>
      </c>
      <c r="O3" s="3">
        <f>'Transaction Overview'!AK3</f>
        <v>0</v>
      </c>
      <c r="P3" s="3">
        <f>'Transaction Overview'!AL3</f>
        <v>0</v>
      </c>
      <c r="Q3" s="3">
        <f>'Transaction Overview'!AM3</f>
        <v>0</v>
      </c>
      <c r="R3" s="3">
        <f>'Transaction Overview'!AN3</f>
        <v>0</v>
      </c>
      <c r="S3" s="3">
        <f>'Transaction Overview'!AO3</f>
        <v>0</v>
      </c>
      <c r="T3" s="3">
        <f>'Transaction Overview'!AP3</f>
        <v>0</v>
      </c>
      <c r="U3" s="3"/>
      <c r="V3" s="2"/>
    </row>
    <row r="4" spans="2:22" x14ac:dyDescent="0.25">
      <c r="B4" s="2"/>
      <c r="C4" s="4" t="str">
        <f>Project_Name&amp;" - Annual Cash Flow"</f>
        <v>WA Mobile Home Park Back of the Envelope - Annual Cash Flow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2:22" x14ac:dyDescent="0.25">
      <c r="B5" s="2"/>
      <c r="C5" s="5" t="str">
        <f>'Transaction Overview'!Y5</f>
        <v>$ Amt. Unless Otherwise Noted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</row>
    <row r="6" spans="2:22" x14ac:dyDescent="0.2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2:22" x14ac:dyDescent="0.25">
      <c r="B7" s="2"/>
      <c r="C7" s="1"/>
      <c r="D7" s="34" t="str">
        <f>'Transaction Overview'!Z7</f>
        <v>Year</v>
      </c>
      <c r="E7" s="34"/>
      <c r="F7" s="34"/>
      <c r="G7" s="34"/>
      <c r="H7" s="34"/>
      <c r="I7" s="68">
        <f>'Transaction Overview'!AE7</f>
        <v>0</v>
      </c>
      <c r="J7" s="69">
        <f>'Transaction Overview'!AF7</f>
        <v>1</v>
      </c>
      <c r="K7" s="69">
        <f>'Transaction Overview'!AG7</f>
        <v>2</v>
      </c>
      <c r="L7" s="69">
        <f>'Transaction Overview'!AH7</f>
        <v>3</v>
      </c>
      <c r="M7" s="69">
        <f>'Transaction Overview'!AI7</f>
        <v>4</v>
      </c>
      <c r="N7" s="69">
        <f>'Transaction Overview'!AJ7</f>
        <v>5</v>
      </c>
      <c r="O7" s="69">
        <f>'Transaction Overview'!AK7</f>
        <v>6</v>
      </c>
      <c r="P7" s="69">
        <f>'Transaction Overview'!AL7</f>
        <v>7</v>
      </c>
      <c r="Q7" s="69">
        <f>'Transaction Overview'!AM7</f>
        <v>8</v>
      </c>
      <c r="R7" s="69">
        <f>'Transaction Overview'!AN7</f>
        <v>9</v>
      </c>
      <c r="S7" s="69">
        <f>'Transaction Overview'!AO7</f>
        <v>10</v>
      </c>
      <c r="T7" s="69">
        <f>'Transaction Overview'!AP7</f>
        <v>11</v>
      </c>
      <c r="U7" s="1"/>
      <c r="V7" s="2"/>
    </row>
    <row r="8" spans="2:22" x14ac:dyDescent="0.25">
      <c r="B8" s="2"/>
      <c r="C8" s="1"/>
      <c r="D8" s="53" t="str">
        <f>'Transaction Overview'!Z8</f>
        <v>Quarter</v>
      </c>
      <c r="E8" s="53"/>
      <c r="F8" s="53"/>
      <c r="G8" s="53"/>
      <c r="H8" s="53"/>
      <c r="I8" s="70">
        <f>'Transaction Overview'!AE8</f>
        <v>0</v>
      </c>
      <c r="J8" s="71">
        <f>'Transaction Overview'!AF8</f>
        <v>4</v>
      </c>
      <c r="K8" s="71">
        <f>'Transaction Overview'!AG8</f>
        <v>8</v>
      </c>
      <c r="L8" s="71">
        <f>'Transaction Overview'!AH8</f>
        <v>12</v>
      </c>
      <c r="M8" s="71">
        <f>'Transaction Overview'!AI8</f>
        <v>16</v>
      </c>
      <c r="N8" s="71">
        <f>'Transaction Overview'!AJ8</f>
        <v>20</v>
      </c>
      <c r="O8" s="71">
        <f>'Transaction Overview'!AK8</f>
        <v>24</v>
      </c>
      <c r="P8" s="71">
        <f>'Transaction Overview'!AL8</f>
        <v>28</v>
      </c>
      <c r="Q8" s="71">
        <f>'Transaction Overview'!AM8</f>
        <v>32</v>
      </c>
      <c r="R8" s="71">
        <f>'Transaction Overview'!AN8</f>
        <v>36</v>
      </c>
      <c r="S8" s="71">
        <f>'Transaction Overview'!AO8</f>
        <v>40</v>
      </c>
      <c r="T8" s="71">
        <f>'Transaction Overview'!AP8</f>
        <v>44</v>
      </c>
      <c r="U8" s="1"/>
      <c r="V8" s="2"/>
    </row>
    <row r="9" spans="2:22" x14ac:dyDescent="0.25">
      <c r="B9" s="2"/>
      <c r="C9" s="1"/>
      <c r="D9" s="53" t="str">
        <f>'Transaction Overview'!Z9</f>
        <v>Month</v>
      </c>
      <c r="E9" s="53"/>
      <c r="F9" s="53"/>
      <c r="G9" s="53"/>
      <c r="H9" s="53"/>
      <c r="I9" s="72">
        <f>'Transaction Overview'!AE9</f>
        <v>0</v>
      </c>
      <c r="J9" s="73">
        <f>'Transaction Overview'!AF9</f>
        <v>12</v>
      </c>
      <c r="K9" s="73">
        <f>'Transaction Overview'!AG9</f>
        <v>24</v>
      </c>
      <c r="L9" s="73">
        <f>'Transaction Overview'!AH9</f>
        <v>36</v>
      </c>
      <c r="M9" s="73">
        <f>'Transaction Overview'!AI9</f>
        <v>48</v>
      </c>
      <c r="N9" s="73">
        <f>'Transaction Overview'!AJ9</f>
        <v>60</v>
      </c>
      <c r="O9" s="73">
        <f>'Transaction Overview'!AK9</f>
        <v>72</v>
      </c>
      <c r="P9" s="73">
        <f>'Transaction Overview'!AL9</f>
        <v>84</v>
      </c>
      <c r="Q9" s="73">
        <f>'Transaction Overview'!AM9</f>
        <v>96</v>
      </c>
      <c r="R9" s="73">
        <f>'Transaction Overview'!AN9</f>
        <v>108</v>
      </c>
      <c r="S9" s="73">
        <f>'Transaction Overview'!AO9</f>
        <v>120</v>
      </c>
      <c r="T9" s="73">
        <f>'Transaction Overview'!AP9</f>
        <v>132</v>
      </c>
      <c r="U9" s="1"/>
      <c r="V9" s="2"/>
    </row>
    <row r="10" spans="2:22" x14ac:dyDescent="0.25">
      <c r="B10" s="2"/>
      <c r="C10" s="1"/>
      <c r="D10" s="74" t="str">
        <f>'Transaction Overview'!Z10</f>
        <v>Date</v>
      </c>
      <c r="E10" s="74"/>
      <c r="F10" s="74"/>
      <c r="G10" s="74"/>
      <c r="H10" s="74"/>
      <c r="I10" s="75">
        <f>'Transaction Overview'!AE10</f>
        <v>43678</v>
      </c>
      <c r="J10" s="75">
        <f>'Transaction Overview'!AF10</f>
        <v>44074</v>
      </c>
      <c r="K10" s="75">
        <f>'Transaction Overview'!AG10</f>
        <v>44439</v>
      </c>
      <c r="L10" s="75">
        <f>'Transaction Overview'!AH10</f>
        <v>44804</v>
      </c>
      <c r="M10" s="75">
        <f>'Transaction Overview'!AI10</f>
        <v>45169</v>
      </c>
      <c r="N10" s="75">
        <f>'Transaction Overview'!AJ10</f>
        <v>45535</v>
      </c>
      <c r="O10" s="75">
        <f>'Transaction Overview'!AK10</f>
        <v>45900</v>
      </c>
      <c r="P10" s="75">
        <f>'Transaction Overview'!AL10</f>
        <v>46265</v>
      </c>
      <c r="Q10" s="75">
        <f>'Transaction Overview'!AM10</f>
        <v>46630</v>
      </c>
      <c r="R10" s="75">
        <f>'Transaction Overview'!AN10</f>
        <v>46996</v>
      </c>
      <c r="S10" s="75">
        <f>'Transaction Overview'!AO10</f>
        <v>47361</v>
      </c>
      <c r="T10" s="75">
        <f>'Transaction Overview'!AP10</f>
        <v>47726</v>
      </c>
      <c r="U10" s="1"/>
      <c r="V10" s="2"/>
    </row>
    <row r="11" spans="2:22" ht="3" customHeight="1" x14ac:dyDescent="0.25"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</row>
    <row r="12" spans="2:22" x14ac:dyDescent="0.25">
      <c r="B12" s="2"/>
      <c r="C12" s="1"/>
      <c r="D12" s="25" t="str">
        <f>'Transaction Overview'!Z12</f>
        <v>Lots Leased at Acquisition</v>
      </c>
      <c r="E12" s="25"/>
      <c r="F12" s="25"/>
      <c r="G12" s="25"/>
      <c r="H12" s="25"/>
      <c r="I12" s="41">
        <f>'Transaction Overview'!AE12</f>
        <v>26</v>
      </c>
      <c r="J12" s="41">
        <f>'Transaction Overview'!AF12</f>
        <v>0</v>
      </c>
      <c r="K12" s="41">
        <f>'Transaction Overview'!AG12</f>
        <v>0</v>
      </c>
      <c r="L12" s="41">
        <f>'Transaction Overview'!AH12</f>
        <v>0</v>
      </c>
      <c r="M12" s="41">
        <f>'Transaction Overview'!AI12</f>
        <v>0</v>
      </c>
      <c r="N12" s="41">
        <f>'Transaction Overview'!AJ12</f>
        <v>0</v>
      </c>
      <c r="O12" s="41">
        <f>'Transaction Overview'!AK12</f>
        <v>0</v>
      </c>
      <c r="P12" s="41">
        <f>'Transaction Overview'!AL12</f>
        <v>0</v>
      </c>
      <c r="Q12" s="41">
        <f>'Transaction Overview'!AM12</f>
        <v>0</v>
      </c>
      <c r="R12" s="41">
        <f>'Transaction Overview'!AN12</f>
        <v>0</v>
      </c>
      <c r="S12" s="41">
        <f>'Transaction Overview'!AO12</f>
        <v>0</v>
      </c>
      <c r="T12" s="41">
        <f>'Transaction Overview'!AP12</f>
        <v>0</v>
      </c>
      <c r="U12" s="1"/>
      <c r="V12" s="2"/>
    </row>
    <row r="13" spans="2:22" x14ac:dyDescent="0.25">
      <c r="B13" s="2"/>
      <c r="C13" s="1"/>
      <c r="D13" s="25" t="str">
        <f>'Transaction Overview'!Z13</f>
        <v>Lots Leased Thereafter</v>
      </c>
      <c r="E13" s="25"/>
      <c r="F13" s="25"/>
      <c r="G13" s="25"/>
      <c r="H13" s="25"/>
      <c r="I13" s="41">
        <f>'Transaction Overview'!AE13</f>
        <v>0</v>
      </c>
      <c r="J13" s="41">
        <f>'Transaction Overview'!AF13</f>
        <v>1</v>
      </c>
      <c r="K13" s="41">
        <f>'Transaction Overview'!AG13</f>
        <v>0</v>
      </c>
      <c r="L13" s="41">
        <f>'Transaction Overview'!AH13</f>
        <v>0</v>
      </c>
      <c r="M13" s="41">
        <f>'Transaction Overview'!AI13</f>
        <v>0</v>
      </c>
      <c r="N13" s="41">
        <f>'Transaction Overview'!AJ13</f>
        <v>0</v>
      </c>
      <c r="O13" s="41">
        <f>'Transaction Overview'!AK13</f>
        <v>0</v>
      </c>
      <c r="P13" s="41">
        <f>'Transaction Overview'!AL13</f>
        <v>0</v>
      </c>
      <c r="Q13" s="41">
        <f>'Transaction Overview'!AM13</f>
        <v>0</v>
      </c>
      <c r="R13" s="41">
        <f>'Transaction Overview'!AN13</f>
        <v>0</v>
      </c>
      <c r="S13" s="41">
        <f>'Transaction Overview'!AO13</f>
        <v>0</v>
      </c>
      <c r="T13" s="41">
        <f>'Transaction Overview'!AP13</f>
        <v>0</v>
      </c>
      <c r="U13" s="1"/>
      <c r="V13" s="2"/>
    </row>
    <row r="14" spans="2:22" x14ac:dyDescent="0.25">
      <c r="B14" s="2"/>
      <c r="C14" s="1"/>
      <c r="D14" s="111" t="str">
        <f>'Transaction Overview'!Z14</f>
        <v>Total Active Lots</v>
      </c>
      <c r="E14" s="111"/>
      <c r="F14" s="111"/>
      <c r="G14" s="111"/>
      <c r="H14" s="111"/>
      <c r="I14" s="112">
        <f>'Transaction Overview'!AE14</f>
        <v>26</v>
      </c>
      <c r="J14" s="112">
        <f>'Transaction Overview'!AF14</f>
        <v>27</v>
      </c>
      <c r="K14" s="112">
        <f>'Transaction Overview'!AG14</f>
        <v>27</v>
      </c>
      <c r="L14" s="112">
        <f>'Transaction Overview'!AH14</f>
        <v>27</v>
      </c>
      <c r="M14" s="112">
        <f>'Transaction Overview'!AI14</f>
        <v>27</v>
      </c>
      <c r="N14" s="112">
        <f>'Transaction Overview'!AJ14</f>
        <v>27</v>
      </c>
      <c r="O14" s="112">
        <f>'Transaction Overview'!AK14</f>
        <v>27</v>
      </c>
      <c r="P14" s="112">
        <f>'Transaction Overview'!AL14</f>
        <v>27</v>
      </c>
      <c r="Q14" s="112">
        <f>'Transaction Overview'!AM14</f>
        <v>27</v>
      </c>
      <c r="R14" s="112">
        <f>'Transaction Overview'!AN14</f>
        <v>27</v>
      </c>
      <c r="S14" s="112">
        <f>'Transaction Overview'!AO14</f>
        <v>27</v>
      </c>
      <c r="T14" s="112">
        <f>'Transaction Overview'!AP14</f>
        <v>27</v>
      </c>
      <c r="U14" s="1"/>
      <c r="V14" s="2"/>
    </row>
    <row r="15" spans="2:22" ht="3" customHeight="1" x14ac:dyDescent="0.25">
      <c r="B15" s="2"/>
      <c r="C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1"/>
      <c r="V15" s="2"/>
    </row>
    <row r="16" spans="2:22" x14ac:dyDescent="0.25">
      <c r="B16" s="2"/>
      <c r="C16" s="1"/>
      <c r="D16" s="25" t="str">
        <f>'Transaction Overview'!Z16</f>
        <v>Lot Rent</v>
      </c>
      <c r="E16" s="25"/>
      <c r="F16" s="25"/>
      <c r="G16" s="25"/>
      <c r="H16" s="25"/>
      <c r="I16" s="42">
        <f>'Transaction Overview'!AE16</f>
        <v>555</v>
      </c>
      <c r="J16" s="42">
        <f>'Transaction Overview'!AF16</f>
        <v>601.0844474550745</v>
      </c>
      <c r="K16" s="42">
        <f>'Transaction Overview'!AG16</f>
        <v>650.99551886913912</v>
      </c>
      <c r="L16" s="42">
        <f>'Transaction Overview'!AH16</f>
        <v>705.0509581174523</v>
      </c>
      <c r="M16" s="42">
        <f>'Transaction Overview'!AI16</f>
        <v>763.59489295081016</v>
      </c>
      <c r="N16" s="42">
        <f>'Transaction Overview'!AJ16</f>
        <v>827.00002578171973</v>
      </c>
      <c r="O16" s="42">
        <f>'Transaction Overview'!AK16</f>
        <v>895.6700063825898</v>
      </c>
      <c r="P16" s="42">
        <f>'Transaction Overview'!AL16</f>
        <v>970.04200160101266</v>
      </c>
      <c r="Q16" s="42">
        <f>'Transaction Overview'!AM16</f>
        <v>1050.589478451458</v>
      </c>
      <c r="R16" s="42">
        <f>'Transaction Overview'!AN16</f>
        <v>1137.8252183010982</v>
      </c>
      <c r="S16" s="42">
        <f>'Transaction Overview'!AO16</f>
        <v>1232.3045813386759</v>
      </c>
      <c r="T16" s="42">
        <f>'Transaction Overview'!AP16</f>
        <v>1334.6290421086755</v>
      </c>
      <c r="U16" s="1"/>
      <c r="V16" s="2"/>
    </row>
    <row r="17" spans="2:22" ht="3" customHeight="1" x14ac:dyDescent="0.25">
      <c r="B17" s="2"/>
      <c r="C17" s="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1"/>
      <c r="V17" s="2"/>
    </row>
    <row r="18" spans="2:22" x14ac:dyDescent="0.25">
      <c r="B18" s="2"/>
      <c r="C18" s="1"/>
      <c r="D18" s="43" t="str">
        <f>'Transaction Overview'!Z18</f>
        <v>Potential Gross Revenue (Lots)</v>
      </c>
      <c r="E18" s="43"/>
      <c r="F18" s="43"/>
      <c r="G18" s="43"/>
      <c r="H18" s="43"/>
      <c r="I18" s="44">
        <f>'Transaction Overview'!AE18</f>
        <v>0</v>
      </c>
      <c r="J18" s="44">
        <f>'Transaction Overview'!AF18</f>
        <v>194751.36097544414</v>
      </c>
      <c r="K18" s="44">
        <f>'Transaction Overview'!AG18</f>
        <v>210922.54811360108</v>
      </c>
      <c r="L18" s="44">
        <f>'Transaction Overview'!AH18</f>
        <v>228436.51043005456</v>
      </c>
      <c r="M18" s="44">
        <f>'Transaction Overview'!AI18</f>
        <v>247404.7453160625</v>
      </c>
      <c r="N18" s="44">
        <f>'Transaction Overview'!AJ18</f>
        <v>267948.00835327717</v>
      </c>
      <c r="O18" s="44">
        <f>'Transaction Overview'!AK18</f>
        <v>290197.08206795913</v>
      </c>
      <c r="P18" s="44">
        <f>'Transaction Overview'!AL18</f>
        <v>314293.60851872811</v>
      </c>
      <c r="Q18" s="44">
        <f>'Transaction Overview'!AM18</f>
        <v>340390.99101827241</v>
      </c>
      <c r="R18" s="44">
        <f>'Transaction Overview'!AN18</f>
        <v>368655.37072955578</v>
      </c>
      <c r="S18" s="44">
        <f>'Transaction Overview'!AO18</f>
        <v>399266.68435373099</v>
      </c>
      <c r="T18" s="44">
        <f>'Transaction Overview'!AP18</f>
        <v>432419.80964321084</v>
      </c>
      <c r="U18" s="1"/>
      <c r="V18" s="2"/>
    </row>
    <row r="19" spans="2:22" x14ac:dyDescent="0.25">
      <c r="B19" s="2"/>
      <c r="C19" s="1"/>
      <c r="D19" s="25" t="str">
        <f>'Transaction Overview'!Z19</f>
        <v>General Vacancy</v>
      </c>
      <c r="E19" s="25"/>
      <c r="F19" s="25"/>
      <c r="G19" s="25"/>
      <c r="H19" s="25"/>
      <c r="I19" s="41">
        <f>'Transaction Overview'!AE19</f>
        <v>0</v>
      </c>
      <c r="J19" s="41">
        <f>'Transaction Overview'!AF19</f>
        <v>0</v>
      </c>
      <c r="K19" s="41">
        <f>'Transaction Overview'!AG19</f>
        <v>0</v>
      </c>
      <c r="L19" s="41">
        <f>'Transaction Overview'!AH19</f>
        <v>0</v>
      </c>
      <c r="M19" s="41">
        <f>'Transaction Overview'!AI19</f>
        <v>0</v>
      </c>
      <c r="N19" s="41">
        <f>'Transaction Overview'!AJ19</f>
        <v>0</v>
      </c>
      <c r="O19" s="41">
        <f>'Transaction Overview'!AK19</f>
        <v>0</v>
      </c>
      <c r="P19" s="41">
        <f>'Transaction Overview'!AL19</f>
        <v>0</v>
      </c>
      <c r="Q19" s="41">
        <f>'Transaction Overview'!AM19</f>
        <v>0</v>
      </c>
      <c r="R19" s="41">
        <f>'Transaction Overview'!AN19</f>
        <v>0</v>
      </c>
      <c r="S19" s="41">
        <f>'Transaction Overview'!AO19</f>
        <v>0</v>
      </c>
      <c r="T19" s="41">
        <f>'Transaction Overview'!AP19</f>
        <v>0</v>
      </c>
      <c r="U19" s="1"/>
      <c r="V19" s="2"/>
    </row>
    <row r="20" spans="2:22" x14ac:dyDescent="0.25">
      <c r="B20" s="2"/>
      <c r="C20" s="1"/>
      <c r="D20" s="25" t="str">
        <f>'Transaction Overview'!Z20</f>
        <v>Bad Debt / Collection Loss</v>
      </c>
      <c r="E20" s="25"/>
      <c r="F20" s="25"/>
      <c r="G20" s="25"/>
      <c r="H20" s="25"/>
      <c r="I20" s="41">
        <f>'Transaction Overview'!AE20</f>
        <v>0</v>
      </c>
      <c r="J20" s="41">
        <f>'Transaction Overview'!AF20</f>
        <v>-2921.2704146316619</v>
      </c>
      <c r="K20" s="41">
        <f>'Transaction Overview'!AG20</f>
        <v>-3163.8382217040162</v>
      </c>
      <c r="L20" s="41">
        <f>'Transaction Overview'!AH20</f>
        <v>-3426.5476564508185</v>
      </c>
      <c r="M20" s="41">
        <f>'Transaction Overview'!AI20</f>
        <v>-3711.0711797409372</v>
      </c>
      <c r="N20" s="41">
        <f>'Transaction Overview'!AJ20</f>
        <v>-4019.2201252991572</v>
      </c>
      <c r="O20" s="41">
        <f>'Transaction Overview'!AK20</f>
        <v>-4352.9562310193869</v>
      </c>
      <c r="P20" s="41">
        <f>'Transaction Overview'!AL20</f>
        <v>-4714.404127780922</v>
      </c>
      <c r="Q20" s="41">
        <f>'Transaction Overview'!AM20</f>
        <v>-5105.8648652740858</v>
      </c>
      <c r="R20" s="41">
        <f>'Transaction Overview'!AN20</f>
        <v>-5529.8305609433364</v>
      </c>
      <c r="S20" s="41">
        <f>'Transaction Overview'!AO20</f>
        <v>-5989.0002653059646</v>
      </c>
      <c r="T20" s="41">
        <f>'Transaction Overview'!AP20</f>
        <v>-6486.2971446481624</v>
      </c>
      <c r="U20" s="1"/>
      <c r="V20" s="2"/>
    </row>
    <row r="21" spans="2:22" x14ac:dyDescent="0.25">
      <c r="B21" s="2"/>
      <c r="C21" s="1"/>
      <c r="D21" s="1" t="str">
        <f>'Transaction Overview'!Z21</f>
        <v>Additional Income</v>
      </c>
      <c r="E21" s="1"/>
      <c r="F21" s="1"/>
      <c r="G21" s="1"/>
      <c r="H21" s="1"/>
      <c r="I21" s="8">
        <f>'Transaction Overview'!AE21</f>
        <v>0</v>
      </c>
      <c r="J21" s="8">
        <f>'Transaction Overview'!AF21</f>
        <v>0</v>
      </c>
      <c r="K21" s="8">
        <f>'Transaction Overview'!AG21</f>
        <v>0</v>
      </c>
      <c r="L21" s="8">
        <f>'Transaction Overview'!AH21</f>
        <v>0</v>
      </c>
      <c r="M21" s="8">
        <f>'Transaction Overview'!AI21</f>
        <v>0</v>
      </c>
      <c r="N21" s="8">
        <f>'Transaction Overview'!AJ21</f>
        <v>0</v>
      </c>
      <c r="O21" s="8">
        <f>'Transaction Overview'!AK21</f>
        <v>0</v>
      </c>
      <c r="P21" s="8">
        <f>'Transaction Overview'!AL21</f>
        <v>0</v>
      </c>
      <c r="Q21" s="8">
        <f>'Transaction Overview'!AM21</f>
        <v>0</v>
      </c>
      <c r="R21" s="8">
        <f>'Transaction Overview'!AN21</f>
        <v>0</v>
      </c>
      <c r="S21" s="8">
        <f>'Transaction Overview'!AO21</f>
        <v>0</v>
      </c>
      <c r="T21" s="8">
        <f>'Transaction Overview'!AP21</f>
        <v>0</v>
      </c>
      <c r="U21" s="1"/>
      <c r="V21" s="2"/>
    </row>
    <row r="22" spans="2:22" x14ac:dyDescent="0.25">
      <c r="B22" s="2"/>
      <c r="C22" s="1"/>
      <c r="D22" s="43" t="str">
        <f>'Transaction Overview'!Z22</f>
        <v>Effective Gross Revenue (Lots)</v>
      </c>
      <c r="E22" s="43"/>
      <c r="F22" s="43"/>
      <c r="G22" s="43"/>
      <c r="H22" s="43"/>
      <c r="I22" s="44">
        <f>'Transaction Overview'!AE22</f>
        <v>0</v>
      </c>
      <c r="J22" s="44">
        <f>'Transaction Overview'!AF22</f>
        <v>191830.09056081247</v>
      </c>
      <c r="K22" s="44">
        <f>'Transaction Overview'!AG22</f>
        <v>207758.70989189707</v>
      </c>
      <c r="L22" s="44">
        <f>'Transaction Overview'!AH22</f>
        <v>225009.96277360374</v>
      </c>
      <c r="M22" s="44">
        <f>'Transaction Overview'!AI22</f>
        <v>243693.67413632156</v>
      </c>
      <c r="N22" s="44">
        <f>'Transaction Overview'!AJ22</f>
        <v>263928.78822797799</v>
      </c>
      <c r="O22" s="44">
        <f>'Transaction Overview'!AK22</f>
        <v>285844.12583693973</v>
      </c>
      <c r="P22" s="44">
        <f>'Transaction Overview'!AL22</f>
        <v>309579.20439094718</v>
      </c>
      <c r="Q22" s="44">
        <f>'Transaction Overview'!AM22</f>
        <v>335285.1261529983</v>
      </c>
      <c r="R22" s="44">
        <f>'Transaction Overview'!AN22</f>
        <v>363125.54016861244</v>
      </c>
      <c r="S22" s="44">
        <f>'Transaction Overview'!AO22</f>
        <v>393277.68408842501</v>
      </c>
      <c r="T22" s="44">
        <f>'Transaction Overview'!AP22</f>
        <v>425933.51249856269</v>
      </c>
      <c r="U22" s="1"/>
      <c r="V22" s="2"/>
    </row>
    <row r="23" spans="2:22" ht="3" customHeight="1" x14ac:dyDescent="0.25">
      <c r="B23" s="2"/>
      <c r="C23" s="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1"/>
      <c r="V23" s="2"/>
    </row>
    <row r="24" spans="2:22" x14ac:dyDescent="0.25">
      <c r="B24" s="2"/>
      <c r="C24" s="1"/>
      <c r="D24" s="47" t="str">
        <f>'Transaction Overview'!Z24</f>
        <v>Operating Expenses (Lots)</v>
      </c>
      <c r="E24" s="47"/>
      <c r="F24" s="47"/>
      <c r="G24" s="47"/>
      <c r="H24" s="47"/>
      <c r="I24" s="48">
        <f>'Transaction Overview'!AE24</f>
        <v>0</v>
      </c>
      <c r="J24" s="48">
        <f>'Transaction Overview'!AF24</f>
        <v>-90160.14256358186</v>
      </c>
      <c r="K24" s="48">
        <f>'Transaction Overview'!AG24</f>
        <v>-93491.419451353679</v>
      </c>
      <c r="L24" s="48">
        <f>'Transaction Overview'!AH24</f>
        <v>-95629.234178781582</v>
      </c>
      <c r="M24" s="48">
        <f>'Transaction Overview'!AI24</f>
        <v>-95040.532913165414</v>
      </c>
      <c r="N24" s="48">
        <f>'Transaction Overview'!AJ24</f>
        <v>-100292.93952663164</v>
      </c>
      <c r="O24" s="48">
        <f>'Transaction Overview'!AK24</f>
        <v>-105762.32655966769</v>
      </c>
      <c r="P24" s="48">
        <f>'Transaction Overview'!AL24</f>
        <v>-114544.30562465046</v>
      </c>
      <c r="Q24" s="48">
        <f>'Transaction Overview'!AM24</f>
        <v>-124055.49667660937</v>
      </c>
      <c r="R24" s="48">
        <f>'Transaction Overview'!AN24</f>
        <v>-134356.44986238659</v>
      </c>
      <c r="S24" s="48">
        <f>'Transaction Overview'!AO24</f>
        <v>-145512.74311271726</v>
      </c>
      <c r="T24" s="48">
        <f>'Transaction Overview'!AP24</f>
        <v>-157595.39962446821</v>
      </c>
      <c r="U24" s="1"/>
      <c r="V24" s="2"/>
    </row>
    <row r="25" spans="2:22" ht="3" customHeight="1" x14ac:dyDescent="0.25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</row>
    <row r="26" spans="2:22" x14ac:dyDescent="0.25">
      <c r="B26" s="2"/>
      <c r="C26" s="1"/>
      <c r="D26" s="49" t="str">
        <f>'Transaction Overview'!Z26</f>
        <v>Net Operating Income (Lots)</v>
      </c>
      <c r="E26" s="49"/>
      <c r="F26" s="49"/>
      <c r="G26" s="49"/>
      <c r="H26" s="49"/>
      <c r="I26" s="50">
        <f>'Transaction Overview'!AE26</f>
        <v>0</v>
      </c>
      <c r="J26" s="50">
        <f>'Transaction Overview'!AF26</f>
        <v>101669.94799723061</v>
      </c>
      <c r="K26" s="50">
        <f>'Transaction Overview'!AG26</f>
        <v>114267.29044054339</v>
      </c>
      <c r="L26" s="50">
        <f>'Transaction Overview'!AH26</f>
        <v>129380.72859482215</v>
      </c>
      <c r="M26" s="50">
        <f>'Transaction Overview'!AI26</f>
        <v>148653.14122315613</v>
      </c>
      <c r="N26" s="50">
        <f>'Transaction Overview'!AJ26</f>
        <v>163635.84870134635</v>
      </c>
      <c r="O26" s="50">
        <f>'Transaction Overview'!AK26</f>
        <v>180081.79927727202</v>
      </c>
      <c r="P26" s="50">
        <f>'Transaction Overview'!AL26</f>
        <v>195034.89876629674</v>
      </c>
      <c r="Q26" s="50">
        <f>'Transaction Overview'!AM26</f>
        <v>211229.62947638892</v>
      </c>
      <c r="R26" s="50">
        <f>'Transaction Overview'!AN26</f>
        <v>228769.09030622584</v>
      </c>
      <c r="S26" s="50">
        <f>'Transaction Overview'!AO26</f>
        <v>247764.94097570775</v>
      </c>
      <c r="T26" s="50">
        <f>'Transaction Overview'!AP26</f>
        <v>268338.11287409451</v>
      </c>
      <c r="U26" s="1"/>
      <c r="V26" s="2"/>
    </row>
    <row r="27" spans="2:22" ht="3" customHeight="1" x14ac:dyDescent="0.25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2:22" x14ac:dyDescent="0.25">
      <c r="B28" s="2"/>
      <c r="C28" s="1"/>
      <c r="D28" s="25" t="str">
        <f>'Transaction Overview'!Z28</f>
        <v>Purchase Price</v>
      </c>
      <c r="E28" s="25"/>
      <c r="F28" s="25"/>
      <c r="G28" s="81"/>
      <c r="H28" s="25"/>
      <c r="I28" s="41">
        <f>'Transaction Overview'!AE28</f>
        <v>-1818000</v>
      </c>
      <c r="J28" s="41">
        <f>'Transaction Overview'!AF28</f>
        <v>0</v>
      </c>
      <c r="K28" s="41">
        <f>'Transaction Overview'!AG28</f>
        <v>0</v>
      </c>
      <c r="L28" s="41">
        <f>'Transaction Overview'!AH28</f>
        <v>0</v>
      </c>
      <c r="M28" s="41">
        <f>'Transaction Overview'!AI28</f>
        <v>0</v>
      </c>
      <c r="N28" s="41">
        <f>'Transaction Overview'!AJ28</f>
        <v>0</v>
      </c>
      <c r="O28" s="41">
        <f>'Transaction Overview'!AK28</f>
        <v>0</v>
      </c>
      <c r="P28" s="41">
        <f>'Transaction Overview'!AL28</f>
        <v>0</v>
      </c>
      <c r="Q28" s="41">
        <f>'Transaction Overview'!AM28</f>
        <v>0</v>
      </c>
      <c r="R28" s="41">
        <f>'Transaction Overview'!AN28</f>
        <v>0</v>
      </c>
      <c r="S28" s="41">
        <f>'Transaction Overview'!AO28</f>
        <v>0</v>
      </c>
      <c r="T28" s="41">
        <f>'Transaction Overview'!AP28</f>
        <v>0</v>
      </c>
      <c r="U28" s="1"/>
      <c r="V28" s="2"/>
    </row>
    <row r="29" spans="2:22" x14ac:dyDescent="0.25">
      <c r="B29" s="2"/>
      <c r="C29" s="1"/>
      <c r="D29" s="25" t="str">
        <f>'Transaction Overview'!Z29</f>
        <v>Closing Costs</v>
      </c>
      <c r="E29" s="25"/>
      <c r="F29" s="25"/>
      <c r="G29" s="81"/>
      <c r="H29" s="25"/>
      <c r="I29" s="41">
        <f>'Transaction Overview'!AE29</f>
        <v>-36360</v>
      </c>
      <c r="J29" s="41">
        <f>'Transaction Overview'!AF29</f>
        <v>0</v>
      </c>
      <c r="K29" s="41">
        <f>'Transaction Overview'!AG29</f>
        <v>0</v>
      </c>
      <c r="L29" s="41">
        <f>'Transaction Overview'!AH29</f>
        <v>0</v>
      </c>
      <c r="M29" s="41">
        <f>'Transaction Overview'!AI29</f>
        <v>0</v>
      </c>
      <c r="N29" s="41">
        <f>'Transaction Overview'!AJ29</f>
        <v>0</v>
      </c>
      <c r="O29" s="41">
        <f>'Transaction Overview'!AK29</f>
        <v>0</v>
      </c>
      <c r="P29" s="41">
        <f>'Transaction Overview'!AL29</f>
        <v>0</v>
      </c>
      <c r="Q29" s="41">
        <f>'Transaction Overview'!AM29</f>
        <v>0</v>
      </c>
      <c r="R29" s="41">
        <f>'Transaction Overview'!AN29</f>
        <v>0</v>
      </c>
      <c r="S29" s="41">
        <f>'Transaction Overview'!AO29</f>
        <v>0</v>
      </c>
      <c r="T29" s="41">
        <f>'Transaction Overview'!AP29</f>
        <v>0</v>
      </c>
      <c r="U29" s="1"/>
      <c r="V29" s="2"/>
    </row>
    <row r="30" spans="2:22" x14ac:dyDescent="0.25">
      <c r="B30" s="2"/>
      <c r="C30" s="1"/>
      <c r="D30" s="25" t="str">
        <f>'Transaction Overview'!Z30</f>
        <v>Gross Sales Proceeds</v>
      </c>
      <c r="E30" s="25"/>
      <c r="F30" s="25"/>
      <c r="G30" s="25"/>
      <c r="H30" s="25"/>
      <c r="I30" s="41">
        <f>'Transaction Overview'!AE30</f>
        <v>0</v>
      </c>
      <c r="J30" s="41">
        <f>'Transaction Overview'!AF30</f>
        <v>0</v>
      </c>
      <c r="K30" s="41">
        <f>'Transaction Overview'!AG30</f>
        <v>0</v>
      </c>
      <c r="L30" s="41">
        <f>'Transaction Overview'!AH30</f>
        <v>0</v>
      </c>
      <c r="M30" s="41">
        <f>'Transaction Overview'!AI30</f>
        <v>0</v>
      </c>
      <c r="N30" s="41">
        <f>'Transaction Overview'!AJ30</f>
        <v>2975197.2491153879</v>
      </c>
      <c r="O30" s="41">
        <f>'Transaction Overview'!AK30</f>
        <v>0</v>
      </c>
      <c r="P30" s="41">
        <f>'Transaction Overview'!AL30</f>
        <v>0</v>
      </c>
      <c r="Q30" s="41">
        <f>'Transaction Overview'!AM30</f>
        <v>0</v>
      </c>
      <c r="R30" s="41">
        <f>'Transaction Overview'!AN30</f>
        <v>0</v>
      </c>
      <c r="S30" s="41">
        <f>'Transaction Overview'!AO30</f>
        <v>0</v>
      </c>
      <c r="T30" s="41">
        <f>'Transaction Overview'!AP30</f>
        <v>0</v>
      </c>
      <c r="U30" s="1"/>
      <c r="V30" s="2"/>
    </row>
    <row r="31" spans="2:22" x14ac:dyDescent="0.25">
      <c r="B31" s="2"/>
      <c r="C31" s="1"/>
      <c r="D31" s="25" t="str">
        <f>'Transaction Overview'!Z31</f>
        <v>Sales Costs</v>
      </c>
      <c r="E31" s="25"/>
      <c r="F31" s="25"/>
      <c r="G31" s="25"/>
      <c r="H31" s="25"/>
      <c r="I31" s="41">
        <f>'Transaction Overview'!AE31</f>
        <v>0</v>
      </c>
      <c r="J31" s="41">
        <f>'Transaction Overview'!AF31</f>
        <v>0</v>
      </c>
      <c r="K31" s="41">
        <f>'Transaction Overview'!AG31</f>
        <v>0</v>
      </c>
      <c r="L31" s="41">
        <f>'Transaction Overview'!AH31</f>
        <v>0</v>
      </c>
      <c r="M31" s="41">
        <f>'Transaction Overview'!AI31</f>
        <v>0</v>
      </c>
      <c r="N31" s="41">
        <f>'Transaction Overview'!AJ31</f>
        <v>-74379.931227884706</v>
      </c>
      <c r="O31" s="41">
        <f>'Transaction Overview'!AK31</f>
        <v>0</v>
      </c>
      <c r="P31" s="41">
        <f>'Transaction Overview'!AL31</f>
        <v>0</v>
      </c>
      <c r="Q31" s="41">
        <f>'Transaction Overview'!AM31</f>
        <v>0</v>
      </c>
      <c r="R31" s="41">
        <f>'Transaction Overview'!AN31</f>
        <v>0</v>
      </c>
      <c r="S31" s="41">
        <f>'Transaction Overview'!AO31</f>
        <v>0</v>
      </c>
      <c r="T31" s="41">
        <f>'Transaction Overview'!AP31</f>
        <v>0</v>
      </c>
      <c r="U31" s="1"/>
      <c r="V31" s="2"/>
    </row>
    <row r="32" spans="2:22" ht="3" customHeight="1" x14ac:dyDescent="0.25">
      <c r="B32" s="2"/>
      <c r="C32" s="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"/>
      <c r="V32" s="2"/>
    </row>
    <row r="33" spans="2:22" x14ac:dyDescent="0.25">
      <c r="B33" s="2"/>
      <c r="C33" s="1"/>
      <c r="D33" s="49" t="str">
        <f>'Transaction Overview'!Z33</f>
        <v>Unlevered Cash Flow (Lots)</v>
      </c>
      <c r="E33" s="49"/>
      <c r="F33" s="49"/>
      <c r="G33" s="49"/>
      <c r="H33" s="49"/>
      <c r="I33" s="50">
        <f>'Transaction Overview'!AE33</f>
        <v>-1854360</v>
      </c>
      <c r="J33" s="50">
        <f>'Transaction Overview'!AF33</f>
        <v>101669.94799723061</v>
      </c>
      <c r="K33" s="50">
        <f>'Transaction Overview'!AG33</f>
        <v>114267.29044054339</v>
      </c>
      <c r="L33" s="50">
        <f>'Transaction Overview'!AH33</f>
        <v>129380.72859482215</v>
      </c>
      <c r="M33" s="50">
        <f>'Transaction Overview'!AI33</f>
        <v>148653.14122315613</v>
      </c>
      <c r="N33" s="50">
        <f>'Transaction Overview'!AJ33</f>
        <v>3064453.1665888494</v>
      </c>
      <c r="O33" s="50">
        <f>'Transaction Overview'!AK33</f>
        <v>0</v>
      </c>
      <c r="P33" s="50">
        <f>'Transaction Overview'!AL33</f>
        <v>0</v>
      </c>
      <c r="Q33" s="50">
        <f>'Transaction Overview'!AM33</f>
        <v>0</v>
      </c>
      <c r="R33" s="50">
        <f>'Transaction Overview'!AN33</f>
        <v>0</v>
      </c>
      <c r="S33" s="50">
        <f>'Transaction Overview'!AO33</f>
        <v>0</v>
      </c>
      <c r="T33" s="50">
        <f>'Transaction Overview'!AP33</f>
        <v>0</v>
      </c>
      <c r="U33" s="1"/>
      <c r="V33" s="2"/>
    </row>
    <row r="34" spans="2:22" ht="3" customHeight="1" x14ac:dyDescent="0.25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2:22" x14ac:dyDescent="0.25">
      <c r="B35" s="2"/>
      <c r="C35" s="1"/>
      <c r="D35" s="25" t="str">
        <f>'Transaction Overview'!Z35</f>
        <v>Total Park Owned Homes</v>
      </c>
      <c r="E35" s="25"/>
      <c r="F35" s="25"/>
      <c r="G35" s="25"/>
      <c r="H35" s="25"/>
      <c r="I35" s="41">
        <f>'Transaction Overview'!AE35</f>
        <v>0</v>
      </c>
      <c r="J35" s="41">
        <f>'Transaction Overview'!AF35</f>
        <v>0.26</v>
      </c>
      <c r="K35" s="41">
        <f>'Transaction Overview'!AG35</f>
        <v>0.27</v>
      </c>
      <c r="L35" s="41">
        <f>'Transaction Overview'!AH35</f>
        <v>0.27</v>
      </c>
      <c r="M35" s="41">
        <f>'Transaction Overview'!AI35</f>
        <v>0.27</v>
      </c>
      <c r="N35" s="41">
        <f>'Transaction Overview'!AJ35</f>
        <v>0.27</v>
      </c>
      <c r="O35" s="41">
        <f>'Transaction Overview'!AK35</f>
        <v>0.27</v>
      </c>
      <c r="P35" s="41">
        <f>'Transaction Overview'!AL35</f>
        <v>0.27</v>
      </c>
      <c r="Q35" s="41">
        <f>'Transaction Overview'!AM35</f>
        <v>0.27</v>
      </c>
      <c r="R35" s="41">
        <f>'Transaction Overview'!AN35</f>
        <v>0.27</v>
      </c>
      <c r="S35" s="41">
        <f>'Transaction Overview'!AO35</f>
        <v>0.27</v>
      </c>
      <c r="T35" s="41">
        <f>'Transaction Overview'!AP35</f>
        <v>0.27</v>
      </c>
      <c r="U35" s="1"/>
      <c r="V35" s="2"/>
    </row>
    <row r="36" spans="2:22" ht="3" customHeight="1" x14ac:dyDescent="0.25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2:22" x14ac:dyDescent="0.25">
      <c r="B37" s="2"/>
      <c r="C37" s="1"/>
      <c r="D37" s="25" t="str">
        <f>'Transaction Overview'!Z37</f>
        <v>Park Owned Homes Rent</v>
      </c>
      <c r="E37" s="25"/>
      <c r="F37" s="25"/>
      <c r="G37" s="25"/>
      <c r="H37" s="25"/>
      <c r="I37" s="42">
        <f>'Transaction Overview'!AE37</f>
        <v>0</v>
      </c>
      <c r="J37" s="42">
        <f>'Transaction Overview'!AF37</f>
        <v>0</v>
      </c>
      <c r="K37" s="42">
        <f>'Transaction Overview'!AG37</f>
        <v>0</v>
      </c>
      <c r="L37" s="42">
        <f>'Transaction Overview'!AH37</f>
        <v>0</v>
      </c>
      <c r="M37" s="42">
        <f>'Transaction Overview'!AI37</f>
        <v>0</v>
      </c>
      <c r="N37" s="42">
        <f>'Transaction Overview'!AJ37</f>
        <v>0</v>
      </c>
      <c r="O37" s="42">
        <f>'Transaction Overview'!AK37</f>
        <v>0</v>
      </c>
      <c r="P37" s="42">
        <f>'Transaction Overview'!AL37</f>
        <v>0</v>
      </c>
      <c r="Q37" s="42">
        <f>'Transaction Overview'!AM37</f>
        <v>0</v>
      </c>
      <c r="R37" s="42">
        <f>'Transaction Overview'!AN37</f>
        <v>0</v>
      </c>
      <c r="S37" s="42">
        <f>'Transaction Overview'!AO37</f>
        <v>0</v>
      </c>
      <c r="T37" s="42">
        <f>'Transaction Overview'!AP37</f>
        <v>0</v>
      </c>
      <c r="U37" s="1"/>
      <c r="V37" s="2"/>
    </row>
    <row r="38" spans="2:22" ht="3" customHeight="1" x14ac:dyDescent="0.25"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2:22" x14ac:dyDescent="0.25">
      <c r="B39" s="2"/>
      <c r="C39" s="1"/>
      <c r="D39" s="43" t="str">
        <f>'Transaction Overview'!Z39</f>
        <v>Potential Gross Revenue (Park Owned Homes)</v>
      </c>
      <c r="E39" s="43"/>
      <c r="F39" s="43"/>
      <c r="G39" s="43"/>
      <c r="H39" s="43"/>
      <c r="I39" s="44">
        <f>'Transaction Overview'!AE39</f>
        <v>0</v>
      </c>
      <c r="J39" s="44">
        <f>'Transaction Overview'!AF39</f>
        <v>0</v>
      </c>
      <c r="K39" s="44">
        <f>'Transaction Overview'!AG39</f>
        <v>0</v>
      </c>
      <c r="L39" s="44">
        <f>'Transaction Overview'!AH39</f>
        <v>0</v>
      </c>
      <c r="M39" s="44">
        <f>'Transaction Overview'!AI39</f>
        <v>0</v>
      </c>
      <c r="N39" s="44">
        <f>'Transaction Overview'!AJ39</f>
        <v>0</v>
      </c>
      <c r="O39" s="44">
        <f>'Transaction Overview'!AK39</f>
        <v>0</v>
      </c>
      <c r="P39" s="44">
        <f>'Transaction Overview'!AL39</f>
        <v>0</v>
      </c>
      <c r="Q39" s="44">
        <f>'Transaction Overview'!AM39</f>
        <v>0</v>
      </c>
      <c r="R39" s="44">
        <f>'Transaction Overview'!AN39</f>
        <v>0</v>
      </c>
      <c r="S39" s="44">
        <f>'Transaction Overview'!AO39</f>
        <v>0</v>
      </c>
      <c r="T39" s="44">
        <f>'Transaction Overview'!AP39</f>
        <v>0</v>
      </c>
      <c r="U39" s="1"/>
      <c r="V39" s="2"/>
    </row>
    <row r="40" spans="2:22" x14ac:dyDescent="0.25">
      <c r="B40" s="2"/>
      <c r="C40" s="1"/>
      <c r="D40" s="25" t="str">
        <f>'Transaction Overview'!Z40</f>
        <v>General Vacancy</v>
      </c>
      <c r="E40" s="25"/>
      <c r="F40" s="25"/>
      <c r="G40" s="25"/>
      <c r="H40" s="25"/>
      <c r="I40" s="41">
        <f>'Transaction Overview'!AE40</f>
        <v>0</v>
      </c>
      <c r="J40" s="41">
        <f>'Transaction Overview'!AF40</f>
        <v>0</v>
      </c>
      <c r="K40" s="41">
        <f>'Transaction Overview'!AG40</f>
        <v>0</v>
      </c>
      <c r="L40" s="41">
        <f>'Transaction Overview'!AH40</f>
        <v>0</v>
      </c>
      <c r="M40" s="41">
        <f>'Transaction Overview'!AI40</f>
        <v>0</v>
      </c>
      <c r="N40" s="41">
        <f>'Transaction Overview'!AJ40</f>
        <v>0</v>
      </c>
      <c r="O40" s="41">
        <f>'Transaction Overview'!AK40</f>
        <v>0</v>
      </c>
      <c r="P40" s="41">
        <f>'Transaction Overview'!AL40</f>
        <v>0</v>
      </c>
      <c r="Q40" s="41">
        <f>'Transaction Overview'!AM40</f>
        <v>0</v>
      </c>
      <c r="R40" s="41">
        <f>'Transaction Overview'!AN40</f>
        <v>0</v>
      </c>
      <c r="S40" s="41">
        <f>'Transaction Overview'!AO40</f>
        <v>0</v>
      </c>
      <c r="T40" s="41">
        <f>'Transaction Overview'!AP40</f>
        <v>0</v>
      </c>
      <c r="U40" s="1"/>
      <c r="V40" s="2"/>
    </row>
    <row r="41" spans="2:22" x14ac:dyDescent="0.25">
      <c r="B41" s="2"/>
      <c r="C41" s="1"/>
      <c r="D41" s="25" t="str">
        <f>'Transaction Overview'!Z41</f>
        <v>Bad Debt / Collection Loss</v>
      </c>
      <c r="E41" s="25"/>
      <c r="F41" s="25"/>
      <c r="G41" s="25"/>
      <c r="H41" s="25"/>
      <c r="I41" s="41">
        <f>'Transaction Overview'!AE41</f>
        <v>0</v>
      </c>
      <c r="J41" s="41">
        <f>'Transaction Overview'!AF41</f>
        <v>0</v>
      </c>
      <c r="K41" s="41">
        <f>'Transaction Overview'!AG41</f>
        <v>0</v>
      </c>
      <c r="L41" s="41">
        <f>'Transaction Overview'!AH41</f>
        <v>0</v>
      </c>
      <c r="M41" s="41">
        <f>'Transaction Overview'!AI41</f>
        <v>0</v>
      </c>
      <c r="N41" s="41">
        <f>'Transaction Overview'!AJ41</f>
        <v>0</v>
      </c>
      <c r="O41" s="41">
        <f>'Transaction Overview'!AK41</f>
        <v>0</v>
      </c>
      <c r="P41" s="41">
        <f>'Transaction Overview'!AL41</f>
        <v>0</v>
      </c>
      <c r="Q41" s="41">
        <f>'Transaction Overview'!AM41</f>
        <v>0</v>
      </c>
      <c r="R41" s="41">
        <f>'Transaction Overview'!AN41</f>
        <v>0</v>
      </c>
      <c r="S41" s="41">
        <f>'Transaction Overview'!AO41</f>
        <v>0</v>
      </c>
      <c r="T41" s="41">
        <f>'Transaction Overview'!AP41</f>
        <v>0</v>
      </c>
      <c r="U41" s="1"/>
      <c r="V41" s="2"/>
    </row>
    <row r="42" spans="2:22" x14ac:dyDescent="0.25">
      <c r="B42" s="2"/>
      <c r="C42" s="1"/>
      <c r="D42" s="43" t="str">
        <f>'Transaction Overview'!Z42</f>
        <v>Effective Gross Revenue (Park Owned Homes)</v>
      </c>
      <c r="E42" s="43"/>
      <c r="F42" s="43"/>
      <c r="G42" s="43"/>
      <c r="H42" s="43"/>
      <c r="I42" s="44">
        <f>'Transaction Overview'!AE42</f>
        <v>0</v>
      </c>
      <c r="J42" s="44">
        <f>'Transaction Overview'!AF42</f>
        <v>0</v>
      </c>
      <c r="K42" s="44">
        <f>'Transaction Overview'!AG42</f>
        <v>0</v>
      </c>
      <c r="L42" s="44">
        <f>'Transaction Overview'!AH42</f>
        <v>0</v>
      </c>
      <c r="M42" s="44">
        <f>'Transaction Overview'!AI42</f>
        <v>0</v>
      </c>
      <c r="N42" s="44">
        <f>'Transaction Overview'!AJ42</f>
        <v>0</v>
      </c>
      <c r="O42" s="44">
        <f>'Transaction Overview'!AK42</f>
        <v>0</v>
      </c>
      <c r="P42" s="44">
        <f>'Transaction Overview'!AL42</f>
        <v>0</v>
      </c>
      <c r="Q42" s="44">
        <f>'Transaction Overview'!AM42</f>
        <v>0</v>
      </c>
      <c r="R42" s="44">
        <f>'Transaction Overview'!AN42</f>
        <v>0</v>
      </c>
      <c r="S42" s="44">
        <f>'Transaction Overview'!AO42</f>
        <v>0</v>
      </c>
      <c r="T42" s="44">
        <f>'Transaction Overview'!AP42</f>
        <v>0</v>
      </c>
      <c r="U42" s="1"/>
      <c r="V42" s="2"/>
    </row>
    <row r="43" spans="2:22" ht="3" customHeight="1" x14ac:dyDescent="0.25">
      <c r="B43" s="2"/>
      <c r="C43" s="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1"/>
      <c r="V43" s="2"/>
    </row>
    <row r="44" spans="2:22" x14ac:dyDescent="0.25">
      <c r="B44" s="2"/>
      <c r="C44" s="1"/>
      <c r="D44" s="47" t="str">
        <f>'Transaction Overview'!Z44</f>
        <v>Operating Expenses (Park Owned Homes)</v>
      </c>
      <c r="E44" s="47"/>
      <c r="F44" s="47"/>
      <c r="G44" s="47"/>
      <c r="H44" s="47"/>
      <c r="I44" s="48">
        <f>'Transaction Overview'!AE44</f>
        <v>0</v>
      </c>
      <c r="J44" s="48">
        <f>'Transaction Overview'!AF44</f>
        <v>0</v>
      </c>
      <c r="K44" s="48">
        <f>'Transaction Overview'!AG44</f>
        <v>0</v>
      </c>
      <c r="L44" s="48">
        <f>'Transaction Overview'!AH44</f>
        <v>0</v>
      </c>
      <c r="M44" s="48">
        <f>'Transaction Overview'!AI44</f>
        <v>0</v>
      </c>
      <c r="N44" s="48">
        <f>'Transaction Overview'!AJ44</f>
        <v>0</v>
      </c>
      <c r="O44" s="48">
        <f>'Transaction Overview'!AK44</f>
        <v>0</v>
      </c>
      <c r="P44" s="48">
        <f>'Transaction Overview'!AL44</f>
        <v>0</v>
      </c>
      <c r="Q44" s="48">
        <f>'Transaction Overview'!AM44</f>
        <v>0</v>
      </c>
      <c r="R44" s="48">
        <f>'Transaction Overview'!AN44</f>
        <v>0</v>
      </c>
      <c r="S44" s="48">
        <f>'Transaction Overview'!AO44</f>
        <v>0</v>
      </c>
      <c r="T44" s="48">
        <f>'Transaction Overview'!AP44</f>
        <v>0</v>
      </c>
      <c r="U44" s="1"/>
      <c r="V44" s="2"/>
    </row>
    <row r="45" spans="2:22" ht="3" customHeight="1" x14ac:dyDescent="0.25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2:22" x14ac:dyDescent="0.25">
      <c r="B46" s="2"/>
      <c r="C46" s="1"/>
      <c r="D46" s="49" t="str">
        <f>'Transaction Overview'!Z46</f>
        <v>Net Operating Income (Park Owned Homes)</v>
      </c>
      <c r="E46" s="49"/>
      <c r="F46" s="49"/>
      <c r="G46" s="49"/>
      <c r="H46" s="49"/>
      <c r="I46" s="50">
        <f>'Transaction Overview'!AE46</f>
        <v>0</v>
      </c>
      <c r="J46" s="50">
        <f>'Transaction Overview'!AF46</f>
        <v>0</v>
      </c>
      <c r="K46" s="50">
        <f>'Transaction Overview'!AG46</f>
        <v>0</v>
      </c>
      <c r="L46" s="50">
        <f>'Transaction Overview'!AH46</f>
        <v>0</v>
      </c>
      <c r="M46" s="50">
        <f>'Transaction Overview'!AI46</f>
        <v>0</v>
      </c>
      <c r="N46" s="50">
        <f>'Transaction Overview'!AJ46</f>
        <v>0</v>
      </c>
      <c r="O46" s="50">
        <f>'Transaction Overview'!AK46</f>
        <v>0</v>
      </c>
      <c r="P46" s="50">
        <f>'Transaction Overview'!AL46</f>
        <v>0</v>
      </c>
      <c r="Q46" s="50">
        <f>'Transaction Overview'!AM46</f>
        <v>0</v>
      </c>
      <c r="R46" s="50">
        <f>'Transaction Overview'!AN46</f>
        <v>0</v>
      </c>
      <c r="S46" s="50">
        <f>'Transaction Overview'!AO46</f>
        <v>0</v>
      </c>
      <c r="T46" s="50">
        <f>'Transaction Overview'!AP46</f>
        <v>0</v>
      </c>
      <c r="U46" s="1"/>
      <c r="V46" s="2"/>
    </row>
    <row r="47" spans="2:22" ht="3" customHeight="1" x14ac:dyDescent="0.25">
      <c r="B47" s="2"/>
      <c r="C47" s="1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1"/>
      <c r="V47" s="2"/>
    </row>
    <row r="48" spans="2:22" x14ac:dyDescent="0.25">
      <c r="B48" s="2"/>
      <c r="C48" s="1"/>
      <c r="D48" s="25" t="str">
        <f>'Transaction Overview'!Z48</f>
        <v>Home Purchase</v>
      </c>
      <c r="E48" s="25"/>
      <c r="F48" s="25"/>
      <c r="G48" s="81"/>
      <c r="H48" s="25"/>
      <c r="I48" s="41">
        <f>'Transaction Overview'!AE48</f>
        <v>-0.26</v>
      </c>
      <c r="J48" s="41">
        <f>'Transaction Overview'!AF48</f>
        <v>-1.0000000000000009E-2</v>
      </c>
      <c r="K48" s="41">
        <f>'Transaction Overview'!AG48</f>
        <v>0</v>
      </c>
      <c r="L48" s="41">
        <f>'Transaction Overview'!AH48</f>
        <v>0</v>
      </c>
      <c r="M48" s="41">
        <f>'Transaction Overview'!AI48</f>
        <v>0</v>
      </c>
      <c r="N48" s="41">
        <f>'Transaction Overview'!AJ48</f>
        <v>0</v>
      </c>
      <c r="O48" s="41">
        <f>'Transaction Overview'!AK48</f>
        <v>0</v>
      </c>
      <c r="P48" s="41">
        <f>'Transaction Overview'!AL48</f>
        <v>0</v>
      </c>
      <c r="Q48" s="41">
        <f>'Transaction Overview'!AM48</f>
        <v>0</v>
      </c>
      <c r="R48" s="41">
        <f>'Transaction Overview'!AN48</f>
        <v>0</v>
      </c>
      <c r="S48" s="41">
        <f>'Transaction Overview'!AO48</f>
        <v>0</v>
      </c>
      <c r="T48" s="109">
        <f>'Transaction Overview'!AP48</f>
        <v>0</v>
      </c>
      <c r="U48" s="1"/>
      <c r="V48" s="2"/>
    </row>
    <row r="49" spans="2:22" x14ac:dyDescent="0.25">
      <c r="B49" s="2"/>
      <c r="C49" s="1"/>
      <c r="D49" s="25" t="str">
        <f>'Transaction Overview'!Z49</f>
        <v>Home Closing Costs</v>
      </c>
      <c r="E49" s="25"/>
      <c r="F49" s="25"/>
      <c r="G49" s="81"/>
      <c r="H49" s="25"/>
      <c r="I49" s="41">
        <f>'Transaction Overview'!AE49</f>
        <v>0</v>
      </c>
      <c r="J49" s="41">
        <f>'Transaction Overview'!AF49</f>
        <v>0</v>
      </c>
      <c r="K49" s="41">
        <f>'Transaction Overview'!AG49</f>
        <v>0</v>
      </c>
      <c r="L49" s="41">
        <f>'Transaction Overview'!AH49</f>
        <v>0</v>
      </c>
      <c r="M49" s="41">
        <f>'Transaction Overview'!AI49</f>
        <v>0</v>
      </c>
      <c r="N49" s="41">
        <f>'Transaction Overview'!AJ49</f>
        <v>0</v>
      </c>
      <c r="O49" s="41">
        <f>'Transaction Overview'!AK49</f>
        <v>0</v>
      </c>
      <c r="P49" s="41">
        <f>'Transaction Overview'!AL49</f>
        <v>0</v>
      </c>
      <c r="Q49" s="41">
        <f>'Transaction Overview'!AM49</f>
        <v>0</v>
      </c>
      <c r="R49" s="41">
        <f>'Transaction Overview'!AN49</f>
        <v>0</v>
      </c>
      <c r="S49" s="41">
        <f>'Transaction Overview'!AO49</f>
        <v>0</v>
      </c>
      <c r="T49" s="41">
        <f>'Transaction Overview'!AP49</f>
        <v>0</v>
      </c>
      <c r="U49" s="1"/>
      <c r="V49" s="2"/>
    </row>
    <row r="50" spans="2:22" x14ac:dyDescent="0.25">
      <c r="B50" s="2"/>
      <c r="C50" s="1"/>
      <c r="D50" s="25" t="str">
        <f>'Transaction Overview'!Z50</f>
        <v>Home Gross Sales Proceeds</v>
      </c>
      <c r="E50" s="25"/>
      <c r="F50" s="25"/>
      <c r="G50" s="25"/>
      <c r="H50" s="25"/>
      <c r="I50" s="41">
        <f>'Transaction Overview'!AE50</f>
        <v>0</v>
      </c>
      <c r="J50" s="41">
        <f>'Transaction Overview'!AF50</f>
        <v>0</v>
      </c>
      <c r="K50" s="41">
        <f>'Transaction Overview'!AG50</f>
        <v>0</v>
      </c>
      <c r="L50" s="41">
        <f>'Transaction Overview'!AH50</f>
        <v>0</v>
      </c>
      <c r="M50" s="41">
        <f>'Transaction Overview'!AI50</f>
        <v>0</v>
      </c>
      <c r="N50" s="41">
        <f>'Transaction Overview'!AJ50</f>
        <v>0</v>
      </c>
      <c r="O50" s="41">
        <f>'Transaction Overview'!AK50</f>
        <v>0</v>
      </c>
      <c r="P50" s="41">
        <f>'Transaction Overview'!AL50</f>
        <v>0</v>
      </c>
      <c r="Q50" s="41">
        <f>'Transaction Overview'!AM50</f>
        <v>0</v>
      </c>
      <c r="R50" s="41">
        <f>'Transaction Overview'!AN50</f>
        <v>0</v>
      </c>
      <c r="S50" s="41">
        <f>'Transaction Overview'!AO50</f>
        <v>0</v>
      </c>
      <c r="T50" s="41">
        <f>'Transaction Overview'!AP50</f>
        <v>0</v>
      </c>
      <c r="U50" s="1"/>
      <c r="V50" s="2"/>
    </row>
    <row r="51" spans="2:22" x14ac:dyDescent="0.25">
      <c r="B51" s="2"/>
      <c r="C51" s="1"/>
      <c r="D51" s="25" t="str">
        <f>'Transaction Overview'!Z51</f>
        <v>Home Sales Costs</v>
      </c>
      <c r="E51" s="25"/>
      <c r="F51" s="25"/>
      <c r="G51" s="25"/>
      <c r="H51" s="25"/>
      <c r="I51" s="41">
        <f>'Transaction Overview'!AE51</f>
        <v>0</v>
      </c>
      <c r="J51" s="41">
        <f>'Transaction Overview'!AF51</f>
        <v>0</v>
      </c>
      <c r="K51" s="41">
        <f>'Transaction Overview'!AG51</f>
        <v>0</v>
      </c>
      <c r="L51" s="41">
        <f>'Transaction Overview'!AH51</f>
        <v>0</v>
      </c>
      <c r="M51" s="41">
        <f>'Transaction Overview'!AI51</f>
        <v>0</v>
      </c>
      <c r="N51" s="41">
        <f>'Transaction Overview'!AJ51</f>
        <v>0</v>
      </c>
      <c r="O51" s="41">
        <f>'Transaction Overview'!AK51</f>
        <v>0</v>
      </c>
      <c r="P51" s="41">
        <f>'Transaction Overview'!AL51</f>
        <v>0</v>
      </c>
      <c r="Q51" s="41">
        <f>'Transaction Overview'!AM51</f>
        <v>0</v>
      </c>
      <c r="R51" s="41">
        <f>'Transaction Overview'!AN51</f>
        <v>0</v>
      </c>
      <c r="S51" s="41">
        <f>'Transaction Overview'!AO51</f>
        <v>0</v>
      </c>
      <c r="T51" s="41">
        <f>'Transaction Overview'!AP51</f>
        <v>0</v>
      </c>
      <c r="U51" s="1"/>
      <c r="V51" s="2"/>
    </row>
    <row r="52" spans="2:22" ht="3" customHeight="1" x14ac:dyDescent="0.25">
      <c r="B52" s="2"/>
      <c r="C52" s="1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1"/>
      <c r="V52" s="2"/>
    </row>
    <row r="53" spans="2:22" x14ac:dyDescent="0.25">
      <c r="B53" s="2"/>
      <c r="C53" s="1"/>
      <c r="D53" s="49" t="str">
        <f>'Transaction Overview'!Z53</f>
        <v>Unlevered Cash Flow (Park Owned Homes)</v>
      </c>
      <c r="E53" s="49"/>
      <c r="F53" s="49"/>
      <c r="G53" s="49"/>
      <c r="H53" s="49"/>
      <c r="I53" s="50">
        <f>'Transaction Overview'!AE53</f>
        <v>-0.26</v>
      </c>
      <c r="J53" s="50">
        <f>'Transaction Overview'!AF53</f>
        <v>-1.0000000000000009E-2</v>
      </c>
      <c r="K53" s="50">
        <f>'Transaction Overview'!AG53</f>
        <v>0</v>
      </c>
      <c r="L53" s="50">
        <f>'Transaction Overview'!AH53</f>
        <v>0</v>
      </c>
      <c r="M53" s="50">
        <f>'Transaction Overview'!AI53</f>
        <v>0</v>
      </c>
      <c r="N53" s="50">
        <f>'Transaction Overview'!AJ53</f>
        <v>0</v>
      </c>
      <c r="O53" s="50">
        <f>'Transaction Overview'!AK53</f>
        <v>0</v>
      </c>
      <c r="P53" s="50">
        <f>'Transaction Overview'!AL53</f>
        <v>0</v>
      </c>
      <c r="Q53" s="50">
        <f>'Transaction Overview'!AM53</f>
        <v>0</v>
      </c>
      <c r="R53" s="50">
        <f>'Transaction Overview'!AN53</f>
        <v>0</v>
      </c>
      <c r="S53" s="50">
        <f>'Transaction Overview'!AO53</f>
        <v>0</v>
      </c>
      <c r="T53" s="50">
        <f>'Transaction Overview'!AP53</f>
        <v>0</v>
      </c>
      <c r="U53" s="1"/>
      <c r="V53" s="2"/>
    </row>
    <row r="54" spans="2:22" ht="3" customHeight="1" x14ac:dyDescent="0.25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</row>
    <row r="55" spans="2:22" x14ac:dyDescent="0.25">
      <c r="B55" s="2"/>
      <c r="C55" s="1"/>
      <c r="D55" s="49" t="str">
        <f>'Transaction Overview'!Z55</f>
        <v>Unlevered Cash Flow (Combined)</v>
      </c>
      <c r="E55" s="49"/>
      <c r="F55" s="49"/>
      <c r="G55" s="49"/>
      <c r="H55" s="49"/>
      <c r="I55" s="50">
        <f>'Transaction Overview'!AE55</f>
        <v>-1854360.26</v>
      </c>
      <c r="J55" s="50">
        <f>'Transaction Overview'!AF55</f>
        <v>101669.93799723062</v>
      </c>
      <c r="K55" s="50">
        <f>'Transaction Overview'!AG55</f>
        <v>114267.29044054339</v>
      </c>
      <c r="L55" s="50">
        <f>'Transaction Overview'!AH55</f>
        <v>129380.72859482215</v>
      </c>
      <c r="M55" s="50">
        <f>'Transaction Overview'!AI55</f>
        <v>148653.14122315613</v>
      </c>
      <c r="N55" s="50">
        <f>'Transaction Overview'!AJ55</f>
        <v>3064453.1665888494</v>
      </c>
      <c r="O55" s="50">
        <f>'Transaction Overview'!AK55</f>
        <v>0</v>
      </c>
      <c r="P55" s="50">
        <f>'Transaction Overview'!AL55</f>
        <v>0</v>
      </c>
      <c r="Q55" s="50">
        <f>'Transaction Overview'!AM55</f>
        <v>0</v>
      </c>
      <c r="R55" s="50">
        <f>'Transaction Overview'!AN55</f>
        <v>0</v>
      </c>
      <c r="S55" s="50">
        <f>'Transaction Overview'!AO55</f>
        <v>0</v>
      </c>
      <c r="T55" s="50">
        <f>'Transaction Overview'!AP55</f>
        <v>0</v>
      </c>
      <c r="U55" s="1"/>
      <c r="V55" s="2"/>
    </row>
    <row r="56" spans="2:22" ht="3" customHeight="1" x14ac:dyDescent="0.25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</row>
    <row r="57" spans="2:22" x14ac:dyDescent="0.25">
      <c r="B57" s="2"/>
      <c r="C57" s="1"/>
      <c r="D57" s="16" t="str">
        <f>'Transaction Overview'!Z57</f>
        <v>Returns Summary (Unlevered)</v>
      </c>
      <c r="E57" s="5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</row>
    <row r="58" spans="2:22" x14ac:dyDescent="0.25">
      <c r="B58" s="2"/>
      <c r="C58" s="1"/>
      <c r="D58" s="13" t="str">
        <f>'Transaction Overview'!Z58</f>
        <v>IRR</v>
      </c>
      <c r="E58" s="76">
        <f>'Transaction Overview'!AA58</f>
        <v>0.1519211501369131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</row>
    <row r="59" spans="2:22" x14ac:dyDescent="0.25">
      <c r="B59" s="2"/>
      <c r="C59" s="1"/>
      <c r="D59" s="13" t="str">
        <f>'Transaction Overview'!Z59</f>
        <v>CFx</v>
      </c>
      <c r="E59" s="78">
        <f>'Transaction Overview'!AA59</f>
        <v>1.9189498079756095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</row>
    <row r="60" spans="2:22" x14ac:dyDescent="0.25">
      <c r="B60" s="2"/>
      <c r="C60" s="1"/>
      <c r="D60" s="26" t="str">
        <f>'Transaction Overview'!Z60</f>
        <v>Net Profit</v>
      </c>
      <c r="E60" s="77">
        <f>'Transaction Overview'!AA60</f>
        <v>1704064.0048446015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</row>
    <row r="61" spans="2:22" x14ac:dyDescent="0.25"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</row>
    <row r="62" spans="2:22" x14ac:dyDescent="0.25">
      <c r="B62" s="2"/>
      <c r="C62" s="1"/>
      <c r="D62" s="4" t="str">
        <f>'Transaction Overview'!Z62</f>
        <v>Acquisition Financing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</row>
    <row r="63" spans="2:22" x14ac:dyDescent="0.25">
      <c r="B63" s="2"/>
      <c r="C63" s="1"/>
      <c r="D63" s="47" t="str">
        <f>'Transaction Overview'!Z63</f>
        <v>Financing Fee(s)</v>
      </c>
      <c r="E63" s="46"/>
      <c r="F63" s="46"/>
      <c r="G63" s="82"/>
      <c r="H63" s="46"/>
      <c r="I63" s="48">
        <f>'Transaction Overview'!AE63</f>
        <v>-11180.000000000002</v>
      </c>
      <c r="J63" s="48">
        <f>'Transaction Overview'!AF63</f>
        <v>0</v>
      </c>
      <c r="K63" s="48">
        <f>'Transaction Overview'!AG63</f>
        <v>0</v>
      </c>
      <c r="L63" s="48">
        <f>'Transaction Overview'!AH63</f>
        <v>0</v>
      </c>
      <c r="M63" s="48">
        <f>'Transaction Overview'!AI63</f>
        <v>0</v>
      </c>
      <c r="N63" s="48">
        <f>'Transaction Overview'!AJ63</f>
        <v>0</v>
      </c>
      <c r="O63" s="48">
        <f>'Transaction Overview'!AK63</f>
        <v>0</v>
      </c>
      <c r="P63" s="48">
        <f>'Transaction Overview'!AL63</f>
        <v>0</v>
      </c>
      <c r="Q63" s="48">
        <f>'Transaction Overview'!AM63</f>
        <v>0</v>
      </c>
      <c r="R63" s="48">
        <f>'Transaction Overview'!AN63</f>
        <v>0</v>
      </c>
      <c r="S63" s="48">
        <f>'Transaction Overview'!AO63</f>
        <v>0</v>
      </c>
      <c r="T63" s="48">
        <f>'Transaction Overview'!AP63</f>
        <v>0</v>
      </c>
      <c r="U63" s="1"/>
      <c r="V63" s="2"/>
    </row>
    <row r="64" spans="2:22" ht="3" customHeight="1" x14ac:dyDescent="0.25">
      <c r="B64" s="2"/>
      <c r="C64" s="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1"/>
      <c r="V64" s="2"/>
    </row>
    <row r="65" spans="2:22" x14ac:dyDescent="0.25">
      <c r="B65" s="2"/>
      <c r="C65" s="1"/>
      <c r="D65" s="43" t="str">
        <f>'Transaction Overview'!Z65</f>
        <v>Beginning of Period</v>
      </c>
      <c r="E65" s="45"/>
      <c r="F65" s="45"/>
      <c r="G65" s="45"/>
      <c r="H65" s="45"/>
      <c r="I65" s="80">
        <f>'Transaction Overview'!AE65</f>
        <v>0</v>
      </c>
      <c r="J65" s="44">
        <f>'Transaction Overview'!AF65</f>
        <v>1118000.0000000002</v>
      </c>
      <c r="K65" s="44">
        <f>'Transaction Overview'!AG65</f>
        <v>1099674.2550281931</v>
      </c>
      <c r="L65" s="44">
        <f>'Transaction Overview'!AH65</f>
        <v>1080523.8515326546</v>
      </c>
      <c r="M65" s="44">
        <f>'Transaction Overview'!AI65</f>
        <v>1060511.6798798169</v>
      </c>
      <c r="N65" s="44">
        <f>'Transaction Overview'!AJ65</f>
        <v>1039598.9605026016</v>
      </c>
      <c r="O65" s="44">
        <f>'Transaction Overview'!AK65</f>
        <v>0</v>
      </c>
      <c r="P65" s="44">
        <f>'Transaction Overview'!AL65</f>
        <v>0</v>
      </c>
      <c r="Q65" s="44">
        <f>'Transaction Overview'!AM65</f>
        <v>0</v>
      </c>
      <c r="R65" s="44">
        <f>'Transaction Overview'!AN65</f>
        <v>0</v>
      </c>
      <c r="S65" s="44">
        <f>'Transaction Overview'!AO65</f>
        <v>0</v>
      </c>
      <c r="T65" s="44">
        <f>'Transaction Overview'!AP65</f>
        <v>0</v>
      </c>
      <c r="U65" s="1"/>
      <c r="V65" s="2"/>
    </row>
    <row r="66" spans="2:22" x14ac:dyDescent="0.25">
      <c r="B66" s="2"/>
      <c r="C66" s="1"/>
      <c r="D66" s="25" t="str">
        <f>'Transaction Overview'!Z66</f>
        <v>Loan Draw</v>
      </c>
      <c r="E66" s="25"/>
      <c r="F66" s="25"/>
      <c r="G66" s="81"/>
      <c r="H66" s="25"/>
      <c r="I66" s="41">
        <f>'Transaction Overview'!AE66</f>
        <v>1118000.0000000002</v>
      </c>
      <c r="J66" s="41">
        <f>'Transaction Overview'!AF66</f>
        <v>0</v>
      </c>
      <c r="K66" s="41">
        <f>'Transaction Overview'!AG66</f>
        <v>0</v>
      </c>
      <c r="L66" s="41">
        <f>'Transaction Overview'!AH66</f>
        <v>0</v>
      </c>
      <c r="M66" s="41">
        <f>'Transaction Overview'!AI66</f>
        <v>0</v>
      </c>
      <c r="N66" s="41">
        <f>'Transaction Overview'!AJ66</f>
        <v>0</v>
      </c>
      <c r="O66" s="41">
        <f>'Transaction Overview'!AK66</f>
        <v>0</v>
      </c>
      <c r="P66" s="41">
        <f>'Transaction Overview'!AL66</f>
        <v>0</v>
      </c>
      <c r="Q66" s="41">
        <f>'Transaction Overview'!AM66</f>
        <v>0</v>
      </c>
      <c r="R66" s="41">
        <f>'Transaction Overview'!AN66</f>
        <v>0</v>
      </c>
      <c r="S66" s="41">
        <f>'Transaction Overview'!AO66</f>
        <v>0</v>
      </c>
      <c r="T66" s="41">
        <f>'Transaction Overview'!AP66</f>
        <v>0</v>
      </c>
      <c r="U66" s="1"/>
      <c r="V66" s="2"/>
    </row>
    <row r="67" spans="2:22" x14ac:dyDescent="0.25">
      <c r="B67" s="2"/>
      <c r="C67" s="1"/>
      <c r="D67" s="25" t="str">
        <f>'Transaction Overview'!Z67</f>
        <v>Loan Amortization</v>
      </c>
      <c r="E67" s="25"/>
      <c r="F67" s="25"/>
      <c r="G67" s="81"/>
      <c r="H67" s="25"/>
      <c r="I67" s="41">
        <f>'Transaction Overview'!AE67</f>
        <v>0</v>
      </c>
      <c r="J67" s="41">
        <f>'Transaction Overview'!AF67</f>
        <v>-18325.744971807151</v>
      </c>
      <c r="K67" s="41">
        <f>'Transaction Overview'!AG67</f>
        <v>-19150.40349553847</v>
      </c>
      <c r="L67" s="41">
        <f>'Transaction Overview'!AH67</f>
        <v>-20012.171652837704</v>
      </c>
      <c r="M67" s="41">
        <f>'Transaction Overview'!AI67</f>
        <v>-20912.719377215399</v>
      </c>
      <c r="N67" s="41">
        <f>'Transaction Overview'!AJ67</f>
        <v>-21853.791749190092</v>
      </c>
      <c r="O67" s="41">
        <f>'Transaction Overview'!AK67</f>
        <v>0</v>
      </c>
      <c r="P67" s="41">
        <f>'Transaction Overview'!AL67</f>
        <v>0</v>
      </c>
      <c r="Q67" s="41">
        <f>'Transaction Overview'!AM67</f>
        <v>0</v>
      </c>
      <c r="R67" s="41">
        <f>'Transaction Overview'!AN67</f>
        <v>0</v>
      </c>
      <c r="S67" s="41">
        <f>'Transaction Overview'!AO67</f>
        <v>0</v>
      </c>
      <c r="T67" s="41">
        <f>'Transaction Overview'!AP67</f>
        <v>0</v>
      </c>
      <c r="U67" s="1"/>
      <c r="V67" s="2"/>
    </row>
    <row r="68" spans="2:22" x14ac:dyDescent="0.25">
      <c r="B68" s="2"/>
      <c r="C68" s="1"/>
      <c r="D68" s="25" t="str">
        <f>'Transaction Overview'!Z68</f>
        <v>Loan Repayment Upon Refinance</v>
      </c>
      <c r="E68" s="25"/>
      <c r="F68" s="25"/>
      <c r="G68" s="25"/>
      <c r="H68" s="25"/>
      <c r="I68" s="41">
        <f>'Transaction Overview'!AE68</f>
        <v>0</v>
      </c>
      <c r="J68" s="41">
        <f>'Transaction Overview'!AF68</f>
        <v>0</v>
      </c>
      <c r="K68" s="41">
        <f>'Transaction Overview'!AG68</f>
        <v>0</v>
      </c>
      <c r="L68" s="41">
        <f>'Transaction Overview'!AH68</f>
        <v>0</v>
      </c>
      <c r="M68" s="41">
        <f>'Transaction Overview'!AI68</f>
        <v>0</v>
      </c>
      <c r="N68" s="41">
        <f>'Transaction Overview'!AJ68</f>
        <v>-1017745.1687534115</v>
      </c>
      <c r="O68" s="41">
        <f>'Transaction Overview'!AK68</f>
        <v>0</v>
      </c>
      <c r="P68" s="41">
        <f>'Transaction Overview'!AL68</f>
        <v>0</v>
      </c>
      <c r="Q68" s="41">
        <f>'Transaction Overview'!AM68</f>
        <v>0</v>
      </c>
      <c r="R68" s="41">
        <f>'Transaction Overview'!AN68</f>
        <v>0</v>
      </c>
      <c r="S68" s="41">
        <f>'Transaction Overview'!AO68</f>
        <v>0</v>
      </c>
      <c r="T68" s="41">
        <f>'Transaction Overview'!AP68</f>
        <v>0</v>
      </c>
      <c r="U68" s="1"/>
      <c r="V68" s="2"/>
    </row>
    <row r="69" spans="2:22" x14ac:dyDescent="0.25">
      <c r="B69" s="2"/>
      <c r="C69" s="1"/>
      <c r="D69" s="43" t="str">
        <f>'Transaction Overview'!Z69</f>
        <v>End of Period</v>
      </c>
      <c r="E69" s="45"/>
      <c r="F69" s="45"/>
      <c r="G69" s="45"/>
      <c r="H69" s="45"/>
      <c r="I69" s="44">
        <f>'Transaction Overview'!AE69</f>
        <v>1118000.0000000002</v>
      </c>
      <c r="J69" s="44">
        <f>'Transaction Overview'!AF69</f>
        <v>1099674.2550281931</v>
      </c>
      <c r="K69" s="44">
        <f>'Transaction Overview'!AG69</f>
        <v>1080523.8515326546</v>
      </c>
      <c r="L69" s="44">
        <f>'Transaction Overview'!AH69</f>
        <v>1060511.6798798169</v>
      </c>
      <c r="M69" s="44">
        <f>'Transaction Overview'!AI69</f>
        <v>1039598.9605026016</v>
      </c>
      <c r="N69" s="44">
        <f>'Transaction Overview'!AJ69</f>
        <v>0</v>
      </c>
      <c r="O69" s="44">
        <f>'Transaction Overview'!AK69</f>
        <v>0</v>
      </c>
      <c r="P69" s="44">
        <f>'Transaction Overview'!AL69</f>
        <v>0</v>
      </c>
      <c r="Q69" s="44">
        <f>'Transaction Overview'!AM69</f>
        <v>0</v>
      </c>
      <c r="R69" s="44">
        <f>'Transaction Overview'!AN69</f>
        <v>0</v>
      </c>
      <c r="S69" s="44">
        <f>'Transaction Overview'!AO69</f>
        <v>0</v>
      </c>
      <c r="T69" s="44">
        <f>'Transaction Overview'!AP69</f>
        <v>0</v>
      </c>
      <c r="U69" s="1"/>
      <c r="V69" s="2"/>
    </row>
    <row r="70" spans="2:22" ht="3" customHeight="1" x14ac:dyDescent="0.25">
      <c r="B70" s="2"/>
      <c r="C70" s="1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1"/>
      <c r="V70" s="2"/>
    </row>
    <row r="71" spans="2:22" x14ac:dyDescent="0.25">
      <c r="B71" s="2"/>
      <c r="C71" s="1"/>
      <c r="D71" s="47" t="str">
        <f>'Transaction Overview'!Z71</f>
        <v>Interest Expense</v>
      </c>
      <c r="E71" s="46"/>
      <c r="F71" s="46"/>
      <c r="G71" s="82"/>
      <c r="H71" s="46"/>
      <c r="I71" s="48">
        <f>'Transaction Overview'!AE71</f>
        <v>0</v>
      </c>
      <c r="J71" s="48">
        <f>'Transaction Overview'!AF71</f>
        <v>-50310.000000000007</v>
      </c>
      <c r="K71" s="48">
        <f>'Transaction Overview'!AG71</f>
        <v>-49485.341476268688</v>
      </c>
      <c r="L71" s="48">
        <f>'Transaction Overview'!AH71</f>
        <v>-48623.573318969458</v>
      </c>
      <c r="M71" s="48">
        <f>'Transaction Overview'!AI71</f>
        <v>-47723.02559459176</v>
      </c>
      <c r="N71" s="48">
        <f>'Transaction Overview'!AJ71</f>
        <v>-46781.95322261707</v>
      </c>
      <c r="O71" s="48">
        <f>'Transaction Overview'!AK71</f>
        <v>0</v>
      </c>
      <c r="P71" s="48">
        <f>'Transaction Overview'!AL71</f>
        <v>0</v>
      </c>
      <c r="Q71" s="48">
        <f>'Transaction Overview'!AM71</f>
        <v>0</v>
      </c>
      <c r="R71" s="48">
        <f>'Transaction Overview'!AN71</f>
        <v>0</v>
      </c>
      <c r="S71" s="48">
        <f>'Transaction Overview'!AO71</f>
        <v>0</v>
      </c>
      <c r="T71" s="48">
        <f>'Transaction Overview'!AP71</f>
        <v>0</v>
      </c>
      <c r="U71" s="1"/>
      <c r="V71" s="2"/>
    </row>
    <row r="72" spans="2:22" ht="3" customHeight="1" x14ac:dyDescent="0.25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</row>
    <row r="73" spans="2:22" x14ac:dyDescent="0.25">
      <c r="B73" s="2"/>
      <c r="C73" s="1"/>
      <c r="D73" s="4" t="str">
        <f>'Transaction Overview'!Z73</f>
        <v>Refinance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</row>
    <row r="74" spans="2:22" x14ac:dyDescent="0.25">
      <c r="B74" s="2"/>
      <c r="C74" s="1"/>
      <c r="D74" s="47" t="str">
        <f>'Transaction Overview'!Z74</f>
        <v>Financing Fee(s)</v>
      </c>
      <c r="E74" s="46"/>
      <c r="F74" s="46"/>
      <c r="G74" s="82"/>
      <c r="H74" s="46"/>
      <c r="I74" s="48">
        <f>'Transaction Overview'!AE74</f>
        <v>0</v>
      </c>
      <c r="J74" s="48">
        <f>'Transaction Overview'!AF74</f>
        <v>0</v>
      </c>
      <c r="K74" s="48">
        <f>'Transaction Overview'!AG74</f>
        <v>0</v>
      </c>
      <c r="L74" s="48">
        <f>'Transaction Overview'!AH74</f>
        <v>0</v>
      </c>
      <c r="M74" s="48">
        <f>'Transaction Overview'!AI74</f>
        <v>0</v>
      </c>
      <c r="N74" s="48">
        <f>'Transaction Overview'!AJ74</f>
        <v>0</v>
      </c>
      <c r="O74" s="48">
        <f>'Transaction Overview'!AK74</f>
        <v>0</v>
      </c>
      <c r="P74" s="48">
        <f>'Transaction Overview'!AL74</f>
        <v>0</v>
      </c>
      <c r="Q74" s="48">
        <f>'Transaction Overview'!AM74</f>
        <v>0</v>
      </c>
      <c r="R74" s="48">
        <f>'Transaction Overview'!AN74</f>
        <v>0</v>
      </c>
      <c r="S74" s="48">
        <f>'Transaction Overview'!AO74</f>
        <v>0</v>
      </c>
      <c r="T74" s="48">
        <f>'Transaction Overview'!AP74</f>
        <v>0</v>
      </c>
      <c r="U74" s="1"/>
      <c r="V74" s="2"/>
    </row>
    <row r="75" spans="2:22" ht="3" customHeight="1" x14ac:dyDescent="0.25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</row>
    <row r="76" spans="2:22" x14ac:dyDescent="0.25">
      <c r="B76" s="2"/>
      <c r="C76" s="1"/>
      <c r="D76" s="43" t="str">
        <f>'Transaction Overview'!Z76</f>
        <v>Beginning of Period</v>
      </c>
      <c r="E76" s="45"/>
      <c r="F76" s="45"/>
      <c r="G76" s="45"/>
      <c r="H76" s="45"/>
      <c r="I76" s="80">
        <f>'Transaction Overview'!AE76</f>
        <v>0</v>
      </c>
      <c r="J76" s="44">
        <f>'Transaction Overview'!AF76</f>
        <v>0</v>
      </c>
      <c r="K76" s="44">
        <f>'Transaction Overview'!AG76</f>
        <v>0</v>
      </c>
      <c r="L76" s="44">
        <f>'Transaction Overview'!AH76</f>
        <v>0</v>
      </c>
      <c r="M76" s="44">
        <f>'Transaction Overview'!AI76</f>
        <v>0</v>
      </c>
      <c r="N76" s="44">
        <f>'Transaction Overview'!AJ76</f>
        <v>0</v>
      </c>
      <c r="O76" s="44">
        <f>'Transaction Overview'!AK76</f>
        <v>0</v>
      </c>
      <c r="P76" s="44">
        <f>'Transaction Overview'!AL76</f>
        <v>0</v>
      </c>
      <c r="Q76" s="44">
        <f>'Transaction Overview'!AM76</f>
        <v>0</v>
      </c>
      <c r="R76" s="44">
        <f>'Transaction Overview'!AN76</f>
        <v>0</v>
      </c>
      <c r="S76" s="44">
        <f>'Transaction Overview'!AO76</f>
        <v>0</v>
      </c>
      <c r="T76" s="44">
        <f>'Transaction Overview'!AP76</f>
        <v>0</v>
      </c>
      <c r="U76" s="1"/>
      <c r="V76" s="2"/>
    </row>
    <row r="77" spans="2:22" x14ac:dyDescent="0.25">
      <c r="B77" s="2"/>
      <c r="C77" s="1"/>
      <c r="D77" s="25" t="str">
        <f>'Transaction Overview'!Z77</f>
        <v>Loan Draw</v>
      </c>
      <c r="E77" s="25"/>
      <c r="F77" s="25"/>
      <c r="G77" s="81"/>
      <c r="H77" s="25"/>
      <c r="I77" s="41">
        <f>'Transaction Overview'!AE77</f>
        <v>0</v>
      </c>
      <c r="J77" s="41">
        <f>'Transaction Overview'!AF77</f>
        <v>0</v>
      </c>
      <c r="K77" s="41">
        <f>'Transaction Overview'!AG77</f>
        <v>0</v>
      </c>
      <c r="L77" s="41">
        <f>'Transaction Overview'!AH77</f>
        <v>0</v>
      </c>
      <c r="M77" s="41">
        <f>'Transaction Overview'!AI77</f>
        <v>0</v>
      </c>
      <c r="N77" s="41">
        <f>'Transaction Overview'!AJ77</f>
        <v>1891096.7216247967</v>
      </c>
      <c r="O77" s="41">
        <f>'Transaction Overview'!AK77</f>
        <v>0</v>
      </c>
      <c r="P77" s="41">
        <f>'Transaction Overview'!AL77</f>
        <v>0</v>
      </c>
      <c r="Q77" s="41">
        <f>'Transaction Overview'!AM77</f>
        <v>0</v>
      </c>
      <c r="R77" s="41">
        <f>'Transaction Overview'!AN77</f>
        <v>0</v>
      </c>
      <c r="S77" s="41">
        <f>'Transaction Overview'!AO77</f>
        <v>0</v>
      </c>
      <c r="T77" s="41">
        <f>'Transaction Overview'!AP77</f>
        <v>0</v>
      </c>
      <c r="U77" s="1"/>
      <c r="V77" s="2"/>
    </row>
    <row r="78" spans="2:22" x14ac:dyDescent="0.25">
      <c r="B78" s="2"/>
      <c r="C78" s="1"/>
      <c r="D78" s="25" t="str">
        <f>'Transaction Overview'!Z78</f>
        <v>Loan Amortization</v>
      </c>
      <c r="E78" s="25"/>
      <c r="F78" s="25"/>
      <c r="G78" s="25"/>
      <c r="H78" s="25"/>
      <c r="I78" s="41">
        <f>'Transaction Overview'!AE78</f>
        <v>0</v>
      </c>
      <c r="J78" s="41">
        <f>'Transaction Overview'!AF78</f>
        <v>0</v>
      </c>
      <c r="K78" s="41">
        <f>'Transaction Overview'!AG78</f>
        <v>0</v>
      </c>
      <c r="L78" s="41">
        <f>'Transaction Overview'!AH78</f>
        <v>0</v>
      </c>
      <c r="M78" s="41">
        <f>'Transaction Overview'!AI78</f>
        <v>0</v>
      </c>
      <c r="N78" s="41">
        <f>'Transaction Overview'!AJ78</f>
        <v>0</v>
      </c>
      <c r="O78" s="41">
        <f>'Transaction Overview'!AK78</f>
        <v>0</v>
      </c>
      <c r="P78" s="41">
        <f>'Transaction Overview'!AL78</f>
        <v>0</v>
      </c>
      <c r="Q78" s="41">
        <f>'Transaction Overview'!AM78</f>
        <v>0</v>
      </c>
      <c r="R78" s="41">
        <f>'Transaction Overview'!AN78</f>
        <v>0</v>
      </c>
      <c r="S78" s="41">
        <f>'Transaction Overview'!AO78</f>
        <v>0</v>
      </c>
      <c r="T78" s="41">
        <f>'Transaction Overview'!AP78</f>
        <v>0</v>
      </c>
      <c r="U78" s="1"/>
      <c r="V78" s="2"/>
    </row>
    <row r="79" spans="2:22" x14ac:dyDescent="0.25">
      <c r="B79" s="2"/>
      <c r="C79" s="1"/>
      <c r="D79" s="25" t="str">
        <f>'Transaction Overview'!Z79</f>
        <v>Loan Repayment Upon Exit</v>
      </c>
      <c r="E79" s="25"/>
      <c r="F79" s="25"/>
      <c r="G79" s="25"/>
      <c r="H79" s="25"/>
      <c r="I79" s="41">
        <f>'Transaction Overview'!AE79</f>
        <v>0</v>
      </c>
      <c r="J79" s="41">
        <f>'Transaction Overview'!AF79</f>
        <v>0</v>
      </c>
      <c r="K79" s="41">
        <f>'Transaction Overview'!AG79</f>
        <v>0</v>
      </c>
      <c r="L79" s="41">
        <f>'Transaction Overview'!AH79</f>
        <v>0</v>
      </c>
      <c r="M79" s="41">
        <f>'Transaction Overview'!AI79</f>
        <v>0</v>
      </c>
      <c r="N79" s="41">
        <f>'Transaction Overview'!AJ79</f>
        <v>-1891096.7216247967</v>
      </c>
      <c r="O79" s="41">
        <f>'Transaction Overview'!AK79</f>
        <v>0</v>
      </c>
      <c r="P79" s="41">
        <f>'Transaction Overview'!AL79</f>
        <v>0</v>
      </c>
      <c r="Q79" s="41">
        <f>'Transaction Overview'!AM79</f>
        <v>0</v>
      </c>
      <c r="R79" s="41">
        <f>'Transaction Overview'!AN79</f>
        <v>0</v>
      </c>
      <c r="S79" s="41">
        <f>'Transaction Overview'!AO79</f>
        <v>0</v>
      </c>
      <c r="T79" s="41">
        <f>'Transaction Overview'!AP79</f>
        <v>0</v>
      </c>
      <c r="U79" s="1"/>
      <c r="V79" s="2"/>
    </row>
    <row r="80" spans="2:22" x14ac:dyDescent="0.25">
      <c r="B80" s="2"/>
      <c r="C80" s="1"/>
      <c r="D80" s="43" t="str">
        <f>'Transaction Overview'!Z80</f>
        <v>End of Period</v>
      </c>
      <c r="E80" s="45"/>
      <c r="F80" s="45"/>
      <c r="G80" s="45"/>
      <c r="H80" s="45"/>
      <c r="I80" s="44">
        <f>'Transaction Overview'!AE80</f>
        <v>0</v>
      </c>
      <c r="J80" s="44">
        <f>'Transaction Overview'!AF80</f>
        <v>0</v>
      </c>
      <c r="K80" s="44">
        <f>'Transaction Overview'!AG80</f>
        <v>0</v>
      </c>
      <c r="L80" s="44">
        <f>'Transaction Overview'!AH80</f>
        <v>0</v>
      </c>
      <c r="M80" s="44">
        <f>'Transaction Overview'!AI80</f>
        <v>0</v>
      </c>
      <c r="N80" s="44">
        <f>'Transaction Overview'!AJ80</f>
        <v>0</v>
      </c>
      <c r="O80" s="44">
        <f>'Transaction Overview'!AK80</f>
        <v>0</v>
      </c>
      <c r="P80" s="44">
        <f>'Transaction Overview'!AL80</f>
        <v>0</v>
      </c>
      <c r="Q80" s="44">
        <f>'Transaction Overview'!AM80</f>
        <v>0</v>
      </c>
      <c r="R80" s="44">
        <f>'Transaction Overview'!AN80</f>
        <v>0</v>
      </c>
      <c r="S80" s="44">
        <f>'Transaction Overview'!AO80</f>
        <v>0</v>
      </c>
      <c r="T80" s="44">
        <f>'Transaction Overview'!AP80</f>
        <v>0</v>
      </c>
      <c r="U80" s="1"/>
      <c r="V80" s="2"/>
    </row>
    <row r="81" spans="2:22" ht="3" customHeight="1" x14ac:dyDescent="0.25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</row>
    <row r="82" spans="2:22" x14ac:dyDescent="0.25">
      <c r="B82" s="2"/>
      <c r="C82" s="1"/>
      <c r="D82" s="47" t="str">
        <f>'Transaction Overview'!Z82</f>
        <v>Interest Expense</v>
      </c>
      <c r="E82" s="46"/>
      <c r="F82" s="46"/>
      <c r="G82" s="46"/>
      <c r="H82" s="46"/>
      <c r="I82" s="84">
        <f>'Transaction Overview'!AE82</f>
        <v>0</v>
      </c>
      <c r="J82" s="84">
        <f>'Transaction Overview'!AF82</f>
        <v>0</v>
      </c>
      <c r="K82" s="84">
        <f>'Transaction Overview'!AG82</f>
        <v>0</v>
      </c>
      <c r="L82" s="84">
        <f>'Transaction Overview'!AH82</f>
        <v>0</v>
      </c>
      <c r="M82" s="84">
        <f>'Transaction Overview'!AI82</f>
        <v>0</v>
      </c>
      <c r="N82" s="84">
        <f>'Transaction Overview'!AJ82</f>
        <v>0</v>
      </c>
      <c r="O82" s="84">
        <f>'Transaction Overview'!AK82</f>
        <v>0</v>
      </c>
      <c r="P82" s="84">
        <f>'Transaction Overview'!AL82</f>
        <v>0</v>
      </c>
      <c r="Q82" s="84">
        <f>'Transaction Overview'!AM82</f>
        <v>0</v>
      </c>
      <c r="R82" s="84">
        <f>'Transaction Overview'!AN82</f>
        <v>0</v>
      </c>
      <c r="S82" s="84">
        <f>'Transaction Overview'!AO82</f>
        <v>0</v>
      </c>
      <c r="T82" s="84">
        <f>'Transaction Overview'!AP82</f>
        <v>0</v>
      </c>
      <c r="U82" s="1"/>
      <c r="V82" s="2"/>
    </row>
    <row r="83" spans="2:22" ht="3" customHeight="1" x14ac:dyDescent="0.25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</row>
    <row r="84" spans="2:22" x14ac:dyDescent="0.25">
      <c r="B84" s="2"/>
      <c r="C84" s="1"/>
      <c r="D84" s="49" t="str">
        <f>'Transaction Overview'!Z84</f>
        <v>Levered Cash Flow (Lots)</v>
      </c>
      <c r="E84" s="49"/>
      <c r="F84" s="49"/>
      <c r="G84" s="85"/>
      <c r="H84" s="49"/>
      <c r="I84" s="50">
        <f>'Transaction Overview'!AE84</f>
        <v>-747539.99999999977</v>
      </c>
      <c r="J84" s="50">
        <f>'Transaction Overview'!AF84</f>
        <v>51359.947997230607</v>
      </c>
      <c r="K84" s="50">
        <f>'Transaction Overview'!AG84</f>
        <v>64781.948964274707</v>
      </c>
      <c r="L84" s="50">
        <f>'Transaction Overview'!AH84</f>
        <v>80757.155275852696</v>
      </c>
      <c r="M84" s="50">
        <f>'Transaction Overview'!AI84</f>
        <v>100930.11562856437</v>
      </c>
      <c r="N84" s="50">
        <f>'Transaction Overview'!AJ84</f>
        <v>1999926.0446128207</v>
      </c>
      <c r="O84" s="50">
        <f>'Transaction Overview'!AK84</f>
        <v>0</v>
      </c>
      <c r="P84" s="50">
        <f>'Transaction Overview'!AL84</f>
        <v>0</v>
      </c>
      <c r="Q84" s="50">
        <f>'Transaction Overview'!AM84</f>
        <v>0</v>
      </c>
      <c r="R84" s="50">
        <f>'Transaction Overview'!AN84</f>
        <v>0</v>
      </c>
      <c r="S84" s="50">
        <f>'Transaction Overview'!AO84</f>
        <v>0</v>
      </c>
      <c r="T84" s="50">
        <f>'Transaction Overview'!AP84</f>
        <v>0</v>
      </c>
      <c r="U84" s="1"/>
      <c r="V84" s="2"/>
    </row>
    <row r="85" spans="2:22" ht="3" customHeight="1" x14ac:dyDescent="0.25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</row>
    <row r="86" spans="2:22" x14ac:dyDescent="0.25">
      <c r="B86" s="2"/>
      <c r="C86" s="1"/>
      <c r="D86" s="4" t="str">
        <f>'Transaction Overview'!Z86</f>
        <v>Park Owned Homes Financing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</row>
    <row r="87" spans="2:22" x14ac:dyDescent="0.25">
      <c r="B87" s="2"/>
      <c r="C87" s="1"/>
      <c r="D87" s="43" t="str">
        <f>'Transaction Overview'!Z87</f>
        <v>Beginning of Period</v>
      </c>
      <c r="E87" s="45"/>
      <c r="F87" s="45"/>
      <c r="G87" s="45"/>
      <c r="H87" s="45"/>
      <c r="I87" s="80">
        <f>'Transaction Overview'!AE87</f>
        <v>0</v>
      </c>
      <c r="J87" s="44">
        <f>'Transaction Overview'!AF87</f>
        <v>0</v>
      </c>
      <c r="K87" s="44">
        <f>'Transaction Overview'!AG87</f>
        <v>0</v>
      </c>
      <c r="L87" s="44">
        <f>'Transaction Overview'!AH87</f>
        <v>0</v>
      </c>
      <c r="M87" s="44">
        <f>'Transaction Overview'!AI87</f>
        <v>0</v>
      </c>
      <c r="N87" s="44">
        <f>'Transaction Overview'!AJ87</f>
        <v>0</v>
      </c>
      <c r="O87" s="44">
        <f>'Transaction Overview'!AK87</f>
        <v>0</v>
      </c>
      <c r="P87" s="44">
        <f>'Transaction Overview'!AL87</f>
        <v>0</v>
      </c>
      <c r="Q87" s="44">
        <f>'Transaction Overview'!AM87</f>
        <v>0</v>
      </c>
      <c r="R87" s="44">
        <f>'Transaction Overview'!AN87</f>
        <v>0</v>
      </c>
      <c r="S87" s="44">
        <f>'Transaction Overview'!AO87</f>
        <v>0</v>
      </c>
      <c r="T87" s="44">
        <f>'Transaction Overview'!AP87</f>
        <v>0</v>
      </c>
      <c r="U87" s="1"/>
      <c r="V87" s="2"/>
    </row>
    <row r="88" spans="2:22" x14ac:dyDescent="0.25">
      <c r="B88" s="2"/>
      <c r="C88" s="1"/>
      <c r="D88" s="25" t="str">
        <f>'Transaction Overview'!Z88</f>
        <v>Loan Draw</v>
      </c>
      <c r="E88" s="25"/>
      <c r="F88" s="25"/>
      <c r="G88" s="81"/>
      <c r="H88" s="25"/>
      <c r="I88" s="41">
        <f>'Transaction Overview'!AE88</f>
        <v>0</v>
      </c>
      <c r="J88" s="41">
        <f>'Transaction Overview'!AF88</f>
        <v>0</v>
      </c>
      <c r="K88" s="41">
        <f>'Transaction Overview'!AG88</f>
        <v>0</v>
      </c>
      <c r="L88" s="41">
        <f>'Transaction Overview'!AH88</f>
        <v>0</v>
      </c>
      <c r="M88" s="41">
        <f>'Transaction Overview'!AI88</f>
        <v>0</v>
      </c>
      <c r="N88" s="41">
        <f>'Transaction Overview'!AJ88</f>
        <v>0</v>
      </c>
      <c r="O88" s="41">
        <f>'Transaction Overview'!AK88</f>
        <v>0</v>
      </c>
      <c r="P88" s="41">
        <f>'Transaction Overview'!AL88</f>
        <v>0</v>
      </c>
      <c r="Q88" s="41">
        <f>'Transaction Overview'!AM88</f>
        <v>0</v>
      </c>
      <c r="R88" s="41">
        <f>'Transaction Overview'!AN88</f>
        <v>0</v>
      </c>
      <c r="S88" s="41">
        <f>'Transaction Overview'!AO88</f>
        <v>0</v>
      </c>
      <c r="T88" s="41">
        <f>'Transaction Overview'!AP88</f>
        <v>0</v>
      </c>
      <c r="U88" s="1"/>
      <c r="V88" s="2"/>
    </row>
    <row r="89" spans="2:22" x14ac:dyDescent="0.25">
      <c r="B89" s="2"/>
      <c r="C89" s="1"/>
      <c r="D89" s="25" t="str">
        <f>'Transaction Overview'!Z89</f>
        <v>Loan Amortization</v>
      </c>
      <c r="E89" s="25"/>
      <c r="F89" s="25"/>
      <c r="G89" s="25"/>
      <c r="H89" s="25"/>
      <c r="I89" s="41">
        <f>'Transaction Overview'!AE89</f>
        <v>0</v>
      </c>
      <c r="J89" s="41">
        <f>'Transaction Overview'!AF89</f>
        <v>0</v>
      </c>
      <c r="K89" s="41">
        <f>'Transaction Overview'!AG89</f>
        <v>0</v>
      </c>
      <c r="L89" s="41">
        <f>'Transaction Overview'!AH89</f>
        <v>0</v>
      </c>
      <c r="M89" s="41">
        <f>'Transaction Overview'!AI89</f>
        <v>0</v>
      </c>
      <c r="N89" s="41">
        <f>'Transaction Overview'!AJ89</f>
        <v>0</v>
      </c>
      <c r="O89" s="41">
        <f>'Transaction Overview'!AK89</f>
        <v>0</v>
      </c>
      <c r="P89" s="41">
        <f>'Transaction Overview'!AL89</f>
        <v>0</v>
      </c>
      <c r="Q89" s="41">
        <f>'Transaction Overview'!AM89</f>
        <v>0</v>
      </c>
      <c r="R89" s="41">
        <f>'Transaction Overview'!AN89</f>
        <v>0</v>
      </c>
      <c r="S89" s="41">
        <f>'Transaction Overview'!AO89</f>
        <v>0</v>
      </c>
      <c r="T89" s="41">
        <f>'Transaction Overview'!AP89</f>
        <v>0</v>
      </c>
      <c r="U89" s="1"/>
      <c r="V89" s="2"/>
    </row>
    <row r="90" spans="2:22" x14ac:dyDescent="0.25">
      <c r="B90" s="2"/>
      <c r="C90" s="1"/>
      <c r="D90" s="25" t="str">
        <f>'Transaction Overview'!Z90</f>
        <v>Loan Repayment Upon Exit</v>
      </c>
      <c r="E90" s="25"/>
      <c r="F90" s="25"/>
      <c r="G90" s="25"/>
      <c r="H90" s="25"/>
      <c r="I90" s="41">
        <f>'Transaction Overview'!AE90</f>
        <v>0</v>
      </c>
      <c r="J90" s="41">
        <f>'Transaction Overview'!AF90</f>
        <v>0</v>
      </c>
      <c r="K90" s="41">
        <f>'Transaction Overview'!AG90</f>
        <v>0</v>
      </c>
      <c r="L90" s="41">
        <f>'Transaction Overview'!AH90</f>
        <v>0</v>
      </c>
      <c r="M90" s="41">
        <f>'Transaction Overview'!AI90</f>
        <v>0</v>
      </c>
      <c r="N90" s="41">
        <f>'Transaction Overview'!AJ90</f>
        <v>0</v>
      </c>
      <c r="O90" s="41">
        <f>'Transaction Overview'!AK90</f>
        <v>0</v>
      </c>
      <c r="P90" s="41">
        <f>'Transaction Overview'!AL90</f>
        <v>0</v>
      </c>
      <c r="Q90" s="41">
        <f>'Transaction Overview'!AM90</f>
        <v>0</v>
      </c>
      <c r="R90" s="41">
        <f>'Transaction Overview'!AN90</f>
        <v>0</v>
      </c>
      <c r="S90" s="41">
        <f>'Transaction Overview'!AO90</f>
        <v>0</v>
      </c>
      <c r="T90" s="41">
        <f>'Transaction Overview'!AP90</f>
        <v>0</v>
      </c>
      <c r="U90" s="1"/>
      <c r="V90" s="2"/>
    </row>
    <row r="91" spans="2:22" x14ac:dyDescent="0.25">
      <c r="B91" s="2"/>
      <c r="C91" s="1"/>
      <c r="D91" s="43" t="str">
        <f>'Transaction Overview'!Z91</f>
        <v>End of Period</v>
      </c>
      <c r="E91" s="45"/>
      <c r="F91" s="45"/>
      <c r="G91" s="45"/>
      <c r="H91" s="45"/>
      <c r="I91" s="44">
        <f>'Transaction Overview'!AE91</f>
        <v>0</v>
      </c>
      <c r="J91" s="44">
        <f>'Transaction Overview'!AF91</f>
        <v>0</v>
      </c>
      <c r="K91" s="44">
        <f>'Transaction Overview'!AG91</f>
        <v>0</v>
      </c>
      <c r="L91" s="44">
        <f>'Transaction Overview'!AH91</f>
        <v>0</v>
      </c>
      <c r="M91" s="44">
        <f>'Transaction Overview'!AI91</f>
        <v>0</v>
      </c>
      <c r="N91" s="44">
        <f>'Transaction Overview'!AJ91</f>
        <v>0</v>
      </c>
      <c r="O91" s="44">
        <f>'Transaction Overview'!AK91</f>
        <v>0</v>
      </c>
      <c r="P91" s="44">
        <f>'Transaction Overview'!AL91</f>
        <v>0</v>
      </c>
      <c r="Q91" s="44">
        <f>'Transaction Overview'!AM91</f>
        <v>0</v>
      </c>
      <c r="R91" s="44">
        <f>'Transaction Overview'!AN91</f>
        <v>0</v>
      </c>
      <c r="S91" s="44">
        <f>'Transaction Overview'!AO91</f>
        <v>0</v>
      </c>
      <c r="T91" s="44">
        <f>'Transaction Overview'!AP91</f>
        <v>0</v>
      </c>
      <c r="U91" s="1"/>
      <c r="V91" s="2"/>
    </row>
    <row r="92" spans="2:22" ht="3" customHeight="1" x14ac:dyDescent="0.25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</row>
    <row r="93" spans="2:22" x14ac:dyDescent="0.25">
      <c r="B93" s="2"/>
      <c r="C93" s="1"/>
      <c r="D93" s="47" t="str">
        <f>'Transaction Overview'!Z93</f>
        <v>Interest Expense</v>
      </c>
      <c r="E93" s="46"/>
      <c r="F93" s="46"/>
      <c r="G93" s="46"/>
      <c r="H93" s="46"/>
      <c r="I93" s="84">
        <f>'Transaction Overview'!AE93</f>
        <v>0</v>
      </c>
      <c r="J93" s="84">
        <f>'Transaction Overview'!AF93</f>
        <v>0</v>
      </c>
      <c r="K93" s="84">
        <f>'Transaction Overview'!AG93</f>
        <v>0</v>
      </c>
      <c r="L93" s="84">
        <f>'Transaction Overview'!AH93</f>
        <v>0</v>
      </c>
      <c r="M93" s="84">
        <f>'Transaction Overview'!AI93</f>
        <v>0</v>
      </c>
      <c r="N93" s="84">
        <f>'Transaction Overview'!AJ93</f>
        <v>0</v>
      </c>
      <c r="O93" s="84">
        <f>'Transaction Overview'!AK93</f>
        <v>0</v>
      </c>
      <c r="P93" s="84">
        <f>'Transaction Overview'!AL93</f>
        <v>0</v>
      </c>
      <c r="Q93" s="84">
        <f>'Transaction Overview'!AM93</f>
        <v>0</v>
      </c>
      <c r="R93" s="84">
        <f>'Transaction Overview'!AN93</f>
        <v>0</v>
      </c>
      <c r="S93" s="84">
        <f>'Transaction Overview'!AO93</f>
        <v>0</v>
      </c>
      <c r="T93" s="84">
        <f>'Transaction Overview'!AP93</f>
        <v>0</v>
      </c>
      <c r="U93" s="1"/>
      <c r="V93" s="2"/>
    </row>
    <row r="94" spans="2:22" ht="3" customHeight="1" x14ac:dyDescent="0.25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</row>
    <row r="95" spans="2:22" x14ac:dyDescent="0.25">
      <c r="B95" s="2"/>
      <c r="C95" s="1"/>
      <c r="D95" s="49" t="str">
        <f>'Transaction Overview'!Z95</f>
        <v>Levered Cash Flow (Park Owned Homes)</v>
      </c>
      <c r="E95" s="49"/>
      <c r="F95" s="49"/>
      <c r="G95" s="85"/>
      <c r="H95" s="49"/>
      <c r="I95" s="50">
        <f>'Transaction Overview'!AE95</f>
        <v>-0.26</v>
      </c>
      <c r="J95" s="50">
        <f>'Transaction Overview'!AF95</f>
        <v>-1.0000000000000009E-2</v>
      </c>
      <c r="K95" s="50">
        <f>'Transaction Overview'!AG95</f>
        <v>0</v>
      </c>
      <c r="L95" s="50">
        <f>'Transaction Overview'!AH95</f>
        <v>0</v>
      </c>
      <c r="M95" s="50">
        <f>'Transaction Overview'!AI95</f>
        <v>0</v>
      </c>
      <c r="N95" s="50">
        <f>'Transaction Overview'!AJ95</f>
        <v>0</v>
      </c>
      <c r="O95" s="50">
        <f>'Transaction Overview'!AK95</f>
        <v>0</v>
      </c>
      <c r="P95" s="50">
        <f>'Transaction Overview'!AL95</f>
        <v>0</v>
      </c>
      <c r="Q95" s="50">
        <f>'Transaction Overview'!AM95</f>
        <v>0</v>
      </c>
      <c r="R95" s="50">
        <f>'Transaction Overview'!AN95</f>
        <v>0</v>
      </c>
      <c r="S95" s="50">
        <f>'Transaction Overview'!AO95</f>
        <v>0</v>
      </c>
      <c r="T95" s="50">
        <f>'Transaction Overview'!AP95</f>
        <v>0</v>
      </c>
      <c r="U95" s="1"/>
      <c r="V95" s="2"/>
    </row>
    <row r="96" spans="2:22" ht="3" customHeight="1" x14ac:dyDescent="0.25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</row>
    <row r="97" spans="2:22" x14ac:dyDescent="0.25">
      <c r="B97" s="2"/>
      <c r="C97" s="1"/>
      <c r="D97" s="49" t="str">
        <f>'Transaction Overview'!Z97</f>
        <v>Levered Cash Flow (Combined)</v>
      </c>
      <c r="E97" s="49"/>
      <c r="F97" s="49"/>
      <c r="G97" s="85"/>
      <c r="H97" s="49"/>
      <c r="I97" s="50">
        <f>'Transaction Overview'!AE97</f>
        <v>-747540.25999999978</v>
      </c>
      <c r="J97" s="50">
        <f>'Transaction Overview'!AF97</f>
        <v>51359.937997230605</v>
      </c>
      <c r="K97" s="50">
        <f>'Transaction Overview'!AG97</f>
        <v>64781.948964274707</v>
      </c>
      <c r="L97" s="50">
        <f>'Transaction Overview'!AH97</f>
        <v>80757.155275852696</v>
      </c>
      <c r="M97" s="50">
        <f>'Transaction Overview'!AI97</f>
        <v>100930.11562856437</v>
      </c>
      <c r="N97" s="50">
        <f>'Transaction Overview'!AJ97</f>
        <v>1999926.0446128207</v>
      </c>
      <c r="O97" s="50">
        <f>'Transaction Overview'!AK97</f>
        <v>0</v>
      </c>
      <c r="P97" s="50">
        <f>'Transaction Overview'!AL97</f>
        <v>0</v>
      </c>
      <c r="Q97" s="50">
        <f>'Transaction Overview'!AM97</f>
        <v>0</v>
      </c>
      <c r="R97" s="50">
        <f>'Transaction Overview'!AN97</f>
        <v>0</v>
      </c>
      <c r="S97" s="50">
        <f>'Transaction Overview'!AO97</f>
        <v>0</v>
      </c>
      <c r="T97" s="50">
        <f>'Transaction Overview'!AP97</f>
        <v>0</v>
      </c>
      <c r="U97" s="1"/>
      <c r="V97" s="2"/>
    </row>
    <row r="98" spans="2:22" x14ac:dyDescent="0.25"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</row>
    <row r="99" spans="2:22" x14ac:dyDescent="0.25">
      <c r="B99" s="2"/>
      <c r="C99" s="1"/>
      <c r="D99" s="16" t="str">
        <f>'Transaction Overview'!Z99</f>
        <v>Returns Summary (Levered)</v>
      </c>
      <c r="E99" s="5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</row>
    <row r="100" spans="2:22" x14ac:dyDescent="0.25">
      <c r="B100" s="2"/>
      <c r="C100" s="1"/>
      <c r="D100" s="13" t="str">
        <f>'Transaction Overview'!Z100</f>
        <v>IRR</v>
      </c>
      <c r="E100" s="76">
        <f>'Transaction Overview'!AA100</f>
        <v>0.27625897760515183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</row>
    <row r="101" spans="2:22" x14ac:dyDescent="0.25">
      <c r="B101" s="2"/>
      <c r="C101" s="1"/>
      <c r="D101" s="13" t="str">
        <f>'Transaction Overview'!Z101</f>
        <v>CFx</v>
      </c>
      <c r="E101" s="78">
        <f>'Transaction Overview'!AA101</f>
        <v>3.0737544523404585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</row>
    <row r="102" spans="2:22" x14ac:dyDescent="0.25">
      <c r="B102" s="2"/>
      <c r="C102" s="1"/>
      <c r="D102" s="26" t="str">
        <f>'Transaction Overview'!Z102</f>
        <v>Net Profit</v>
      </c>
      <c r="E102" s="77">
        <f>'Transaction Overview'!AA102</f>
        <v>1550214.9424787434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</row>
    <row r="103" spans="2:22" x14ac:dyDescent="0.25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</row>
    <row r="104" spans="2:22" x14ac:dyDescent="0.25">
      <c r="B104" s="2" t="str">
        <f>'Transaction Overview'!X104</f>
        <v>x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 t="str">
        <f>'Transaction Overview'!AR104</f>
        <v>x</v>
      </c>
    </row>
  </sheetData>
  <printOptions horizontalCentered="1"/>
  <pageMargins left="0.1" right="0.1" top="0.1" bottom="0.1" header="0.25" footer="0.25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Transaction Overview</vt:lpstr>
      <vt:lpstr>Annual Cash Flow</vt:lpstr>
      <vt:lpstr>End_Date</vt:lpstr>
      <vt:lpstr>Lots</vt:lpstr>
      <vt:lpstr>'Annual Cash Flow'!Print_Area</vt:lpstr>
      <vt:lpstr>'Transaction Overview'!Print_Area</vt:lpstr>
      <vt:lpstr>Project_Name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Ian Fisher</cp:lastModifiedBy>
  <cp:lastPrinted>2023-09-22T17:57:25Z</cp:lastPrinted>
  <dcterms:created xsi:type="dcterms:W3CDTF">2023-08-31T16:47:16Z</dcterms:created>
  <dcterms:modified xsi:type="dcterms:W3CDTF">2024-11-01T16:40:19Z</dcterms:modified>
</cp:coreProperties>
</file>